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K:\DT\BBM\BYG\MAXR\Publications\2. Cold Water Extraction for determination of the free alkali metal content in blended cement paste\Data\"/>
    </mc:Choice>
  </mc:AlternateContent>
  <xr:revisionPtr revIDLastSave="0" documentId="13_ncr:1_{19231855-6898-440E-B89E-3C2A473EB27B}" xr6:coauthVersionLast="47" xr6:coauthVersionMax="47" xr10:uidLastSave="{00000000-0000-0000-0000-000000000000}"/>
  <bookViews>
    <workbookView xWindow="22932" yWindow="-108" windowWidth="23256" windowHeight="12576" activeTab="3" xr2:uid="{00000000-000D-0000-FFFF-FFFF00000000}"/>
  </bookViews>
  <sheets>
    <sheet name="Chemical composition" sheetId="3" r:id="rId1"/>
    <sheet name="ASTM C311" sheetId="5" r:id="rId2"/>
    <sheet name="ASTM C114" sheetId="9" r:id="rId3"/>
    <sheet name="Graphs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" i="9" l="1"/>
  <c r="J5" i="9"/>
  <c r="J12" i="9"/>
  <c r="R4" i="5"/>
  <c r="R3" i="5"/>
  <c r="Q4" i="5"/>
  <c r="Q3" i="5"/>
  <c r="P6" i="5"/>
  <c r="P7" i="5"/>
  <c r="P8" i="5"/>
  <c r="P9" i="5"/>
  <c r="P10" i="5"/>
  <c r="P11" i="5"/>
  <c r="P12" i="5"/>
  <c r="P13" i="5"/>
  <c r="P5" i="5"/>
  <c r="O6" i="5"/>
  <c r="O7" i="5"/>
  <c r="O8" i="5"/>
  <c r="O9" i="5"/>
  <c r="O10" i="5"/>
  <c r="O11" i="5"/>
  <c r="O12" i="5"/>
  <c r="O13" i="5"/>
  <c r="O5" i="5"/>
  <c r="D2" i="3"/>
  <c r="D3" i="3"/>
  <c r="E13" i="9"/>
  <c r="G13" i="9" s="1"/>
  <c r="I13" i="9" s="1"/>
  <c r="K13" i="9" s="1"/>
  <c r="D13" i="9"/>
  <c r="F13" i="9" s="1"/>
  <c r="H13" i="9" s="1"/>
  <c r="J13" i="9" s="1"/>
  <c r="G12" i="9"/>
  <c r="I12" i="9" s="1"/>
  <c r="K12" i="9" s="1"/>
  <c r="E12" i="9"/>
  <c r="D12" i="9"/>
  <c r="F12" i="9" s="1"/>
  <c r="H12" i="9" s="1"/>
  <c r="E11" i="9"/>
  <c r="G11" i="9" s="1"/>
  <c r="I11" i="9" s="1"/>
  <c r="K11" i="9" s="1"/>
  <c r="D11" i="9"/>
  <c r="E10" i="9"/>
  <c r="D10" i="9"/>
  <c r="F10" i="9" s="1"/>
  <c r="H10" i="9" s="1"/>
  <c r="J10" i="9" s="1"/>
  <c r="F9" i="9"/>
  <c r="H9" i="9" s="1"/>
  <c r="J9" i="9" s="1"/>
  <c r="E9" i="9"/>
  <c r="D9" i="9"/>
  <c r="E8" i="9"/>
  <c r="D8" i="9"/>
  <c r="F8" i="9" s="1"/>
  <c r="H8" i="9" s="1"/>
  <c r="J8" i="9" s="1"/>
  <c r="E7" i="9"/>
  <c r="D7" i="9"/>
  <c r="E6" i="9"/>
  <c r="D6" i="9"/>
  <c r="F6" i="9" s="1"/>
  <c r="H6" i="9" s="1"/>
  <c r="J6" i="9" s="1"/>
  <c r="E5" i="9"/>
  <c r="G5" i="9" s="1"/>
  <c r="I5" i="9" s="1"/>
  <c r="K5" i="9" s="1"/>
  <c r="D5" i="9"/>
  <c r="F5" i="9" s="1"/>
  <c r="H5" i="9" s="1"/>
  <c r="E4" i="9"/>
  <c r="G4" i="9" s="1"/>
  <c r="I4" i="9" s="1"/>
  <c r="K4" i="9" s="1"/>
  <c r="D4" i="9"/>
  <c r="F4" i="9" s="1"/>
  <c r="H4" i="9" s="1"/>
  <c r="J4" i="9" s="1"/>
  <c r="E3" i="9"/>
  <c r="G3" i="9" s="1"/>
  <c r="I3" i="9" s="1"/>
  <c r="D3" i="9"/>
  <c r="G8" i="9" l="1"/>
  <c r="I8" i="9" s="1"/>
  <c r="K8" i="9" s="1"/>
  <c r="G6" i="9"/>
  <c r="I6" i="9" s="1"/>
  <c r="K6" i="9" s="1"/>
  <c r="G10" i="9"/>
  <c r="I10" i="9" s="1"/>
  <c r="K10" i="9" s="1"/>
  <c r="F3" i="9"/>
  <c r="H3" i="9" s="1"/>
  <c r="J3" i="9" s="1"/>
  <c r="F7" i="9"/>
  <c r="H7" i="9" s="1"/>
  <c r="J7" i="9" s="1"/>
  <c r="F11" i="9"/>
  <c r="H11" i="9" s="1"/>
  <c r="J11" i="9" s="1"/>
  <c r="G7" i="9"/>
  <c r="I7" i="9" s="1"/>
  <c r="K7" i="9" s="1"/>
  <c r="G9" i="9"/>
  <c r="I9" i="9" s="1"/>
  <c r="K9" i="9" s="1"/>
  <c r="D10" i="3" l="1"/>
  <c r="E11" i="5"/>
  <c r="G11" i="5" s="1"/>
  <c r="I11" i="5" s="1"/>
  <c r="K11" i="5" s="1"/>
  <c r="M11" i="5" s="1"/>
  <c r="R11" i="5" s="1"/>
  <c r="D11" i="5"/>
  <c r="F11" i="5" s="1"/>
  <c r="H11" i="5" s="1"/>
  <c r="J11" i="5" s="1"/>
  <c r="L11" i="5" s="1"/>
  <c r="E5" i="5"/>
  <c r="D5" i="5"/>
  <c r="E13" i="5"/>
  <c r="D13" i="5"/>
  <c r="E6" i="5"/>
  <c r="D6" i="5"/>
  <c r="E8" i="5"/>
  <c r="G8" i="5" s="1"/>
  <c r="I8" i="5" s="1"/>
  <c r="K8" i="5" s="1"/>
  <c r="M8" i="5" s="1"/>
  <c r="R8" i="5" s="1"/>
  <c r="D8" i="5"/>
  <c r="F8" i="5" s="1"/>
  <c r="H8" i="5" s="1"/>
  <c r="J8" i="5" s="1"/>
  <c r="L8" i="5" s="1"/>
  <c r="E7" i="5"/>
  <c r="G7" i="5" s="1"/>
  <c r="I7" i="5" s="1"/>
  <c r="K7" i="5" s="1"/>
  <c r="M7" i="5" s="1"/>
  <c r="R7" i="5" s="1"/>
  <c r="D7" i="5"/>
  <c r="F7" i="5" s="1"/>
  <c r="H7" i="5" s="1"/>
  <c r="J7" i="5" s="1"/>
  <c r="L7" i="5" s="1"/>
  <c r="E12" i="5"/>
  <c r="D12" i="5"/>
  <c r="E10" i="5"/>
  <c r="D10" i="5"/>
  <c r="E9" i="5"/>
  <c r="D9" i="5"/>
  <c r="D9" i="3"/>
  <c r="F5" i="5" l="1"/>
  <c r="H5" i="5" s="1"/>
  <c r="J5" i="5" s="1"/>
  <c r="L5" i="5" s="1"/>
  <c r="Q5" i="5" s="1"/>
  <c r="T5" i="5"/>
  <c r="U11" i="5"/>
  <c r="F10" i="5"/>
  <c r="H10" i="5" s="1"/>
  <c r="J10" i="5" s="1"/>
  <c r="L10" i="5" s="1"/>
  <c r="Q10" i="5" s="1"/>
  <c r="T10" i="5"/>
  <c r="F6" i="5"/>
  <c r="H6" i="5" s="1"/>
  <c r="J6" i="5" s="1"/>
  <c r="L6" i="5" s="1"/>
  <c r="Q6" i="5" s="1"/>
  <c r="T6" i="5"/>
  <c r="U10" i="5"/>
  <c r="G10" i="5"/>
  <c r="I10" i="5" s="1"/>
  <c r="K10" i="5" s="1"/>
  <c r="G6" i="5"/>
  <c r="I6" i="5" s="1"/>
  <c r="K6" i="5" s="1"/>
  <c r="M6" i="5" s="1"/>
  <c r="R6" i="5" s="1"/>
  <c r="U6" i="5"/>
  <c r="G5" i="5"/>
  <c r="I5" i="5" s="1"/>
  <c r="K5" i="5" s="1"/>
  <c r="M5" i="5" s="1"/>
  <c r="R5" i="5" s="1"/>
  <c r="U5" i="5"/>
  <c r="U7" i="5"/>
  <c r="T7" i="5"/>
  <c r="F9" i="5"/>
  <c r="H9" i="5" s="1"/>
  <c r="J9" i="5" s="1"/>
  <c r="L9" i="5" s="1"/>
  <c r="Q9" i="5" s="1"/>
  <c r="T9" i="5"/>
  <c r="F12" i="5"/>
  <c r="H12" i="5" s="1"/>
  <c r="J12" i="5" s="1"/>
  <c r="L12" i="5" s="1"/>
  <c r="Q12" i="5" s="1"/>
  <c r="T12" i="5"/>
  <c r="F13" i="5"/>
  <c r="H13" i="5" s="1"/>
  <c r="J13" i="5" s="1"/>
  <c r="L13" i="5" s="1"/>
  <c r="T13" i="5"/>
  <c r="T11" i="5"/>
  <c r="G9" i="5"/>
  <c r="I9" i="5" s="1"/>
  <c r="K9" i="5" s="1"/>
  <c r="M9" i="5" s="1"/>
  <c r="R9" i="5" s="1"/>
  <c r="U9" i="5"/>
  <c r="G12" i="5"/>
  <c r="I12" i="5" s="1"/>
  <c r="K12" i="5" s="1"/>
  <c r="M12" i="5" s="1"/>
  <c r="R12" i="5" s="1"/>
  <c r="U12" i="5"/>
  <c r="G13" i="5"/>
  <c r="I13" i="5" s="1"/>
  <c r="K13" i="5" s="1"/>
  <c r="M13" i="5" s="1"/>
  <c r="R13" i="5" s="1"/>
  <c r="U13" i="5"/>
  <c r="U8" i="5"/>
  <c r="T8" i="5"/>
  <c r="Q7" i="5"/>
  <c r="N7" i="5"/>
  <c r="Q8" i="5"/>
  <c r="N8" i="5"/>
  <c r="N11" i="5"/>
  <c r="S11" i="5" s="1"/>
  <c r="Q11" i="5"/>
  <c r="D8" i="3"/>
  <c r="D6" i="3"/>
  <c r="D7" i="3"/>
  <c r="D11" i="3"/>
  <c r="D12" i="3"/>
  <c r="D4" i="3"/>
  <c r="S7" i="5" l="1"/>
  <c r="N5" i="5"/>
  <c r="S5" i="5" s="1"/>
  <c r="N12" i="5"/>
  <c r="S12" i="5" s="1"/>
  <c r="N13" i="5"/>
  <c r="S13" i="5" s="1"/>
  <c r="Q13" i="5"/>
  <c r="M10" i="5"/>
  <c r="N10" i="5" s="1"/>
  <c r="S10" i="5" s="1"/>
  <c r="N6" i="5"/>
  <c r="S6" i="5" s="1"/>
  <c r="N9" i="5"/>
  <c r="S9" i="5" s="1"/>
  <c r="S8" i="5"/>
  <c r="R10" i="5" l="1"/>
</calcChain>
</file>

<file path=xl/sharedStrings.xml><?xml version="1.0" encoding="utf-8"?>
<sst xmlns="http://schemas.openxmlformats.org/spreadsheetml/2006/main" count="81" uniqueCount="33">
  <si>
    <t>Na</t>
  </si>
  <si>
    <t>K</t>
  </si>
  <si>
    <t>ICP [mg/L]</t>
  </si>
  <si>
    <t>From SCM [mg]</t>
  </si>
  <si>
    <t>From SCM [mmol]</t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</si>
  <si>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</si>
  <si>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</si>
  <si>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eq</t>
    </r>
  </si>
  <si>
    <t>LL</t>
  </si>
  <si>
    <t>FA</t>
  </si>
  <si>
    <t>CC1</t>
  </si>
  <si>
    <t>CC2</t>
  </si>
  <si>
    <t>BA1</t>
  </si>
  <si>
    <t>BA2</t>
  </si>
  <si>
    <t>SSA</t>
  </si>
  <si>
    <t>CB</t>
  </si>
  <si>
    <t>GB</t>
  </si>
  <si>
    <r>
      <t>Na</t>
    </r>
    <r>
      <rPr>
        <sz val="11"/>
        <color theme="1"/>
        <rFont val="Calibri"/>
        <family val="2"/>
      </rPr>
      <t>₂O</t>
    </r>
  </si>
  <si>
    <r>
      <t>K</t>
    </r>
    <r>
      <rPr>
        <sz val="11"/>
        <color theme="1"/>
        <rFont val="Calibri"/>
        <family val="2"/>
      </rPr>
      <t>₂O</t>
    </r>
  </si>
  <si>
    <t>Available alkalis [wt.%]</t>
  </si>
  <si>
    <t>Available alkalis [% of total]</t>
  </si>
  <si>
    <t>ICP [mg]</t>
  </si>
  <si>
    <t>Water soluble [%]</t>
  </si>
  <si>
    <t>PC-LA</t>
  </si>
  <si>
    <t>PC-HA</t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</si>
  <si>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</si>
  <si>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</si>
  <si>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eq</t>
    </r>
  </si>
  <si>
    <t>Water soluble [wt.%]</t>
  </si>
  <si>
    <t>WSA - Na₂O</t>
  </si>
  <si>
    <t>WSA - K₂O</t>
  </si>
  <si>
    <t>AA - Na₂O</t>
  </si>
  <si>
    <t>AA - K₂O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</si>
</sst>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29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16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3" fillId="0" borderId="1" xfId="1" applyNumberFormat="1" applyFont="1" applyFill="1" applyBorder="1" applyAlignment="1">
      <alignment vertical="center"/>
    </xf>
    <xf numFmtId="2" fontId="0" fillId="0" borderId="1" xfId="0" quotePrefix="1" applyNumberFormat="1" applyFill="1" applyBorder="1" applyAlignment="1">
      <alignment vertical="center"/>
    </xf>
    <xf numFmtId="2" fontId="0" fillId="0" borderId="1" xfId="0" applyNumberFormat="1" applyFill="1" applyBorder="1" applyAlignment="1">
      <alignment vertical="center"/>
    </xf>
    <xf numFmtId="0" fontId="0" fillId="0" borderId="1" xfId="0" applyFont="1" applyBorder="1"/>
    <xf numFmtId="0" fontId="0" fillId="4" borderId="1" xfId="0" applyFont="1" applyFill="1" applyBorder="1"/>
    <xf numFmtId="0" fontId="0" fillId="0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4" fontId="0" fillId="5" borderId="1" xfId="0" applyNumberFormat="1" applyFill="1" applyBorder="1" applyAlignment="1">
      <alignment vertical="center"/>
    </xf>
    <xf numFmtId="164" fontId="0" fillId="6" borderId="1" xfId="0" applyNumberFormat="1" applyFill="1" applyBorder="1" applyAlignment="1">
      <alignment vertical="center"/>
    </xf>
    <xf numFmtId="164" fontId="0" fillId="7" borderId="1" xfId="0" applyNumberFormat="1" applyFill="1" applyBorder="1"/>
    <xf numFmtId="164" fontId="0" fillId="8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6809397952684E-2"/>
          <c:y val="5.0925925925925923E-2"/>
          <c:w val="0.87743616919130885"/>
          <c:h val="0.8487235501522820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Graphs!$L$3</c:f>
              <c:strCache>
                <c:ptCount val="1"/>
                <c:pt idx="0">
                  <c:v>WSA - K₂O</c:v>
                </c:pt>
              </c:strCache>
            </c:strRef>
          </c:tx>
          <c:spPr>
            <a:pattFill prst="lgConfetti">
              <a:fgClr>
                <a:schemeClr val="accent4"/>
              </a:fgClr>
              <a:bgClr>
                <a:schemeClr val="bg1"/>
              </a:bgClr>
            </a:pattFill>
            <a:ln>
              <a:solidFill>
                <a:schemeClr val="accent4"/>
              </a:solidFill>
            </a:ln>
            <a:effectLst/>
          </c:spPr>
          <c:invertIfNegative val="0"/>
          <c:errBars>
            <c:errBarType val="both"/>
            <c:errValType val="percentage"/>
            <c:noEndCap val="0"/>
            <c:val val="10"/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Lit>
              <c:ptCount val="11"/>
              <c:pt idx="0">
                <c:v>PC-LA</c:v>
              </c:pt>
              <c:pt idx="1">
                <c:v>PC-HA</c:v>
              </c:pt>
              <c:pt idx="2">
                <c:v>LL</c:v>
              </c:pt>
              <c:pt idx="3">
                <c:v>FA</c:v>
              </c:pt>
              <c:pt idx="4">
                <c:v>CC1</c:v>
              </c:pt>
              <c:pt idx="5">
                <c:v>CC2</c:v>
              </c:pt>
              <c:pt idx="6">
                <c:v>BA1</c:v>
              </c:pt>
              <c:pt idx="7">
                <c:v>BA2</c:v>
              </c:pt>
              <c:pt idx="8">
                <c:v>SSA</c:v>
              </c:pt>
              <c:pt idx="9">
                <c:v>CB</c:v>
              </c:pt>
              <c:pt idx="10">
                <c:v>GB</c:v>
              </c:pt>
            </c:strLit>
          </c:cat>
          <c:val>
            <c:numRef>
              <c:f>'ASTM C114'!$K$3:$K$13</c:f>
              <c:numCache>
                <c:formatCode>0.0</c:formatCode>
                <c:ptCount val="11"/>
                <c:pt idx="0">
                  <c:v>61.220412583636524</c:v>
                </c:pt>
                <c:pt idx="1">
                  <c:v>69.826098009693609</c:v>
                </c:pt>
                <c:pt idx="2">
                  <c:v>3.9527984959810785</c:v>
                </c:pt>
                <c:pt idx="3">
                  <c:v>0.46609322985451235</c:v>
                </c:pt>
                <c:pt idx="4">
                  <c:v>0.85099730869253032</c:v>
                </c:pt>
                <c:pt idx="5">
                  <c:v>0.62302404419671165</c:v>
                </c:pt>
                <c:pt idx="6">
                  <c:v>18.528893633262186</c:v>
                </c:pt>
                <c:pt idx="7">
                  <c:v>37.20906129871954</c:v>
                </c:pt>
                <c:pt idx="8">
                  <c:v>0.36955162335485714</c:v>
                </c:pt>
                <c:pt idx="9">
                  <c:v>0.35065904713131613</c:v>
                </c:pt>
                <c:pt idx="10">
                  <c:v>0.18143167469116567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68-4E27-8F20-C4E41D7FA4FB}"/>
            </c:ext>
          </c:extLst>
        </c:ser>
        <c:ser>
          <c:idx val="2"/>
          <c:order val="1"/>
          <c:tx>
            <c:strRef>
              <c:f>Graphs!$L$5</c:f>
              <c:strCache>
                <c:ptCount val="1"/>
                <c:pt idx="0">
                  <c:v>AA - K₂O</c:v>
                </c:pt>
              </c:strCache>
            </c:strRef>
          </c:tx>
          <c:spPr>
            <a:pattFill prst="pct80">
              <a:fgClr>
                <a:schemeClr val="accent4"/>
              </a:fgClr>
              <a:bgClr>
                <a:schemeClr val="bg1"/>
              </a:bgClr>
            </a:pattFill>
            <a:ln>
              <a:solidFill>
                <a:schemeClr val="accent4"/>
              </a:solidFill>
            </a:ln>
            <a:effectLst/>
          </c:spPr>
          <c:invertIfNegative val="0"/>
          <c:errBars>
            <c:errBarType val="both"/>
            <c:errValType val="percentage"/>
            <c:noEndCap val="0"/>
            <c:val val="10"/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'ASTM C311'!$R$3:$R$13</c:f>
              <c:numCache>
                <c:formatCode>General</c:formatCode>
                <c:ptCount val="11"/>
                <c:pt idx="0">
                  <c:v>#N/A</c:v>
                </c:pt>
                <c:pt idx="1">
                  <c:v>#N/A</c:v>
                </c:pt>
                <c:pt idx="2" formatCode="0.0">
                  <c:v>20.399560501905146</c:v>
                </c:pt>
                <c:pt idx="3" formatCode="0.0">
                  <c:v>34.462710207177352</c:v>
                </c:pt>
                <c:pt idx="4" formatCode="0.0">
                  <c:v>13.202392880514463</c:v>
                </c:pt>
                <c:pt idx="5" formatCode="0.0">
                  <c:v>20.411804445988079</c:v>
                </c:pt>
                <c:pt idx="6" formatCode="0.0">
                  <c:v>53.125090734405617</c:v>
                </c:pt>
                <c:pt idx="7" formatCode="0.0">
                  <c:v>65.982902515194255</c:v>
                </c:pt>
                <c:pt idx="8" formatCode="0.0">
                  <c:v>27.493292927092728</c:v>
                </c:pt>
                <c:pt idx="9" formatCode="0.0">
                  <c:v>14.380380086795872</c:v>
                </c:pt>
                <c:pt idx="10" formatCode="0.0">
                  <c:v>9.8753649130695376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68-4E27-8F20-C4E41D7FA4FB}"/>
            </c:ext>
          </c:extLst>
        </c:ser>
        <c:ser>
          <c:idx val="0"/>
          <c:order val="2"/>
          <c:tx>
            <c:strRef>
              <c:f>Graphs!$L$4</c:f>
              <c:strCache>
                <c:ptCount val="1"/>
                <c:pt idx="0">
                  <c:v>WSA - Na₂O</c:v>
                </c:pt>
              </c:strCache>
            </c:strRef>
          </c:tx>
          <c:spPr>
            <a:pattFill prst="lgConfetti">
              <a:fgClr>
                <a:schemeClr val="accent6"/>
              </a:fgClr>
              <a:bgClr>
                <a:schemeClr val="bg1"/>
              </a:bgClr>
            </a:pattFill>
            <a:ln>
              <a:solidFill>
                <a:schemeClr val="accent6"/>
              </a:solidFill>
            </a:ln>
            <a:effectLst/>
          </c:spPr>
          <c:invertIfNegative val="0"/>
          <c:errBars>
            <c:errBarType val="both"/>
            <c:errValType val="percentage"/>
            <c:noEndCap val="0"/>
            <c:val val="10"/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Lit>
              <c:ptCount val="11"/>
              <c:pt idx="0">
                <c:v>PC-LA</c:v>
              </c:pt>
              <c:pt idx="1">
                <c:v>PC-HA</c:v>
              </c:pt>
              <c:pt idx="2">
                <c:v>LL</c:v>
              </c:pt>
              <c:pt idx="3">
                <c:v>FA</c:v>
              </c:pt>
              <c:pt idx="4">
                <c:v>CC1</c:v>
              </c:pt>
              <c:pt idx="5">
                <c:v>CC2</c:v>
              </c:pt>
              <c:pt idx="6">
                <c:v>BA1</c:v>
              </c:pt>
              <c:pt idx="7">
                <c:v>BA2</c:v>
              </c:pt>
              <c:pt idx="8">
                <c:v>SSA</c:v>
              </c:pt>
              <c:pt idx="9">
                <c:v>CB</c:v>
              </c:pt>
              <c:pt idx="10">
                <c:v>GB</c:v>
              </c:pt>
            </c:strLit>
          </c:cat>
          <c:val>
            <c:numRef>
              <c:f>'ASTM C114'!$J$3:$J$13</c:f>
              <c:numCache>
                <c:formatCode>0.0</c:formatCode>
                <c:ptCount val="11"/>
                <c:pt idx="0">
                  <c:v>39.498608656869195</c:v>
                </c:pt>
                <c:pt idx="1">
                  <c:v>49.98872041624611</c:v>
                </c:pt>
                <c:pt idx="2">
                  <c:v>13.026948339221034</c:v>
                </c:pt>
                <c:pt idx="3">
                  <c:v>5.7810997254423606</c:v>
                </c:pt>
                <c:pt idx="4">
                  <c:v>5.1803957751813083</c:v>
                </c:pt>
                <c:pt idx="5">
                  <c:v>2.8314536505127088</c:v>
                </c:pt>
                <c:pt idx="6">
                  <c:v>7.5625893342031345</c:v>
                </c:pt>
                <c:pt idx="7">
                  <c:v>20.123391950340164</c:v>
                </c:pt>
                <c:pt idx="8">
                  <c:v>1.1436174677712041</c:v>
                </c:pt>
                <c:pt idx="9">
                  <c:v>0.64516370565310233</c:v>
                </c:pt>
                <c:pt idx="10">
                  <c:v>0.13214148083718069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68-4E27-8F20-C4E41D7FA4FB}"/>
            </c:ext>
          </c:extLst>
        </c:ser>
        <c:ser>
          <c:idx val="3"/>
          <c:order val="3"/>
          <c:tx>
            <c:strRef>
              <c:f>Graphs!$L$6</c:f>
              <c:strCache>
                <c:ptCount val="1"/>
                <c:pt idx="0">
                  <c:v>AA - Na₂O</c:v>
                </c:pt>
              </c:strCache>
            </c:strRef>
          </c:tx>
          <c:spPr>
            <a:pattFill prst="pct80">
              <a:fgClr>
                <a:schemeClr val="accent6"/>
              </a:fgClr>
              <a:bgClr>
                <a:schemeClr val="bg1"/>
              </a:bgClr>
            </a:pattFill>
            <a:ln>
              <a:solidFill>
                <a:schemeClr val="accent6"/>
              </a:solidFill>
            </a:ln>
            <a:effectLst/>
          </c:spPr>
          <c:invertIfNegative val="0"/>
          <c:errBars>
            <c:errBarType val="both"/>
            <c:errValType val="percentage"/>
            <c:noEndCap val="0"/>
            <c:val val="10"/>
            <c:spPr>
              <a:noFill/>
              <a:ln w="635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'ASTM C311'!$Q$3:$Q$13</c:f>
              <c:numCache>
                <c:formatCode>General</c:formatCode>
                <c:ptCount val="11"/>
                <c:pt idx="0">
                  <c:v>#N/A</c:v>
                </c:pt>
                <c:pt idx="1">
                  <c:v>#N/A</c:v>
                </c:pt>
                <c:pt idx="2" formatCode="0.0">
                  <c:v>67.504342343161184</c:v>
                </c:pt>
                <c:pt idx="3" formatCode="0.0">
                  <c:v>37.230043567923907</c:v>
                </c:pt>
                <c:pt idx="4" formatCode="0.0">
                  <c:v>26.824071536087818</c:v>
                </c:pt>
                <c:pt idx="5" formatCode="0.0">
                  <c:v>29.923916489087894</c:v>
                </c:pt>
                <c:pt idx="6" formatCode="0.0">
                  <c:v>38.382707375707625</c:v>
                </c:pt>
                <c:pt idx="7" formatCode="0.0">
                  <c:v>46.965660142194551</c:v>
                </c:pt>
                <c:pt idx="8" formatCode="0.0">
                  <c:v>16.980959207857143</c:v>
                </c:pt>
                <c:pt idx="9" formatCode="0.0">
                  <c:v>17.359608866075487</c:v>
                </c:pt>
                <c:pt idx="10" formatCode="0.0">
                  <c:v>8.3720301294300334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68-4E27-8F20-C4E41D7FA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515408"/>
        <c:axId val="427033352"/>
      </c:barChart>
      <c:catAx>
        <c:axId val="43551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033352"/>
        <c:crosses val="autoZero"/>
        <c:auto val="1"/>
        <c:lblAlgn val="ctr"/>
        <c:lblOffset val="100"/>
        <c:noMultiLvlLbl val="0"/>
      </c:catAx>
      <c:valAx>
        <c:axId val="42703335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aseline="0"/>
                  <a:t>Alkali metal content</a:t>
                </a:r>
                <a:r>
                  <a:rPr lang="en-GB"/>
                  <a:t> [%</a:t>
                </a:r>
                <a:r>
                  <a:rPr lang="en-GB" baseline="0"/>
                  <a:t> of total</a:t>
                </a:r>
                <a:r>
                  <a:rPr lang="en-GB"/>
                  <a:t>]</a:t>
                </a:r>
              </a:p>
            </c:rich>
          </c:tx>
          <c:layout>
            <c:manualLayout>
              <c:xMode val="edge"/>
              <c:yMode val="edge"/>
              <c:x val="1.0625000000000001E-2"/>
              <c:y val="0.226481858286116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cross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515408"/>
        <c:crosses val="autoZero"/>
        <c:crossBetween val="between"/>
        <c:majorUnit val="20"/>
      </c:valAx>
      <c:spPr>
        <a:noFill/>
        <a:ln w="6350"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10232638888888888"/>
          <c:y val="6.5392917911181792E-2"/>
          <c:w val="0.25301111111111113"/>
          <c:h val="0.13506254574500967"/>
        </c:manualLayout>
      </c:layout>
      <c:overlay val="0"/>
      <c:spPr>
        <a:noFill/>
        <a:ln w="6350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262890</xdr:colOff>
      <xdr:row>1</xdr:row>
      <xdr:rowOff>28574</xdr:rowOff>
    </xdr:from>
    <xdr:to>
      <xdr:col>9</xdr:col>
      <xdr:colOff>534585</xdr:colOff>
      <xdr:row>16</xdr:row>
      <xdr:rowOff>51074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CCB88B-356C-4F30-87FB-1F9095167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63C25-1901-4A7D-B9AF-2D24F0147B89}">
  <dimension ref="A1:D12"/>
  <sheetViews>
    <sheetView workbookViewId="0">
      <selection activeCell="H6" sqref="H6"/>
    </sheetView>
  </sheetViews>
  <sheetFormatPr defaultRowHeight="15" x14ac:dyDescent="0.25"/>
  <cols>
    <col min="1" max="1" width="10.28515625" bestFit="1" customWidth="1"/>
  </cols>
  <sheetData>
    <row r="1" spans="1:4" ht="18" x14ac:dyDescent="0.35">
      <c r="A1" s="13"/>
      <c r="B1" s="13" t="s">
        <v>25</v>
      </c>
      <c r="C1" s="13" t="s">
        <v>26</v>
      </c>
      <c r="D1" s="13" t="s">
        <v>27</v>
      </c>
    </row>
    <row r="2" spans="1:4" x14ac:dyDescent="0.25">
      <c r="A2" s="14" t="s">
        <v>23</v>
      </c>
      <c r="B2" s="14">
        <v>0.33</v>
      </c>
      <c r="C2" s="14">
        <v>0.38</v>
      </c>
      <c r="D2" s="2">
        <f t="shared" ref="D2:D3" si="0">B2+0.658*C2</f>
        <v>0.58004000000000011</v>
      </c>
    </row>
    <row r="3" spans="1:4" x14ac:dyDescent="0.25">
      <c r="A3" s="14" t="s">
        <v>24</v>
      </c>
      <c r="B3" s="14">
        <v>0.45</v>
      </c>
      <c r="C3" s="14">
        <v>1.18</v>
      </c>
      <c r="D3" s="2">
        <f t="shared" si="0"/>
        <v>1.22644</v>
      </c>
    </row>
    <row r="4" spans="1:4" x14ac:dyDescent="0.25">
      <c r="A4" s="12" t="s">
        <v>8</v>
      </c>
      <c r="B4" s="1">
        <v>0.03</v>
      </c>
      <c r="C4" s="1">
        <v>0.06</v>
      </c>
      <c r="D4" s="2">
        <f>B4+0.658*C4</f>
        <v>6.948E-2</v>
      </c>
    </row>
    <row r="5" spans="1:4" x14ac:dyDescent="0.25">
      <c r="A5" s="12" t="s">
        <v>9</v>
      </c>
      <c r="B5" s="1">
        <v>0.49</v>
      </c>
      <c r="C5" s="1">
        <v>1.64</v>
      </c>
      <c r="D5" s="2">
        <v>2.9</v>
      </c>
    </row>
    <row r="6" spans="1:4" x14ac:dyDescent="0.25">
      <c r="A6" s="12" t="s">
        <v>10</v>
      </c>
      <c r="B6" s="1">
        <v>0.92</v>
      </c>
      <c r="C6" s="1">
        <v>2.4700000000000002</v>
      </c>
      <c r="D6" s="2">
        <f>B6+0.658*C6</f>
        <v>2.5452600000000003</v>
      </c>
    </row>
    <row r="7" spans="1:4" x14ac:dyDescent="0.25">
      <c r="A7" s="12" t="s">
        <v>11</v>
      </c>
      <c r="B7" s="1">
        <v>0.81</v>
      </c>
      <c r="C7" s="1">
        <v>2.66</v>
      </c>
      <c r="D7" s="2">
        <f>B7+0.658*C7</f>
        <v>2.5602800000000006</v>
      </c>
    </row>
    <row r="8" spans="1:4" x14ac:dyDescent="0.25">
      <c r="A8" s="12" t="s">
        <v>12</v>
      </c>
      <c r="B8" s="1">
        <v>0.87</v>
      </c>
      <c r="C8" s="1">
        <v>4.93</v>
      </c>
      <c r="D8" s="2">
        <f>B8+0.658*C8</f>
        <v>4.1139399999999995</v>
      </c>
    </row>
    <row r="9" spans="1:4" x14ac:dyDescent="0.25">
      <c r="A9" s="12" t="s">
        <v>13</v>
      </c>
      <c r="B9" s="1">
        <v>0.71</v>
      </c>
      <c r="C9" s="1">
        <v>7.35</v>
      </c>
      <c r="D9" s="2">
        <f>B9+0.658*C9</f>
        <v>5.5462999999999996</v>
      </c>
    </row>
    <row r="10" spans="1:4" x14ac:dyDescent="0.25">
      <c r="A10" s="12" t="s">
        <v>14</v>
      </c>
      <c r="B10" s="1">
        <v>1.03</v>
      </c>
      <c r="C10" s="1">
        <v>2.4300000000000002</v>
      </c>
      <c r="D10" s="2">
        <f t="shared" ref="D10" si="1">B10+0.658*C10</f>
        <v>2.6289400000000001</v>
      </c>
    </row>
    <row r="11" spans="1:4" x14ac:dyDescent="0.25">
      <c r="A11" s="12" t="s">
        <v>15</v>
      </c>
      <c r="B11" s="1">
        <v>1.06</v>
      </c>
      <c r="C11" s="1">
        <v>2.81</v>
      </c>
      <c r="D11" s="2">
        <f>B11+0.658*C11</f>
        <v>2.9089800000000001</v>
      </c>
    </row>
    <row r="12" spans="1:4" x14ac:dyDescent="0.25">
      <c r="A12" s="12" t="s">
        <v>16</v>
      </c>
      <c r="B12" s="1">
        <v>13.63</v>
      </c>
      <c r="C12" s="1">
        <v>0.21</v>
      </c>
      <c r="D12" s="2">
        <f>B12+0.658*C12</f>
        <v>13.768180000000001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40186-8126-4C38-A2BA-42CADB1CDA17}">
  <dimension ref="A1:U26"/>
  <sheetViews>
    <sheetView zoomScaleNormal="100" workbookViewId="0">
      <selection activeCell="O19" sqref="O19"/>
    </sheetView>
  </sheetViews>
  <sheetFormatPr defaultColWidth="9.140625" defaultRowHeight="15" x14ac:dyDescent="0.25"/>
  <cols>
    <col min="1" max="21" width="8.7109375" style="5" customWidth="1"/>
    <col min="22" max="16384" width="9.140625" style="5"/>
  </cols>
  <sheetData>
    <row r="1" spans="1:21" x14ac:dyDescent="0.25">
      <c r="A1" s="4"/>
      <c r="B1" s="27" t="s">
        <v>2</v>
      </c>
      <c r="C1" s="27"/>
      <c r="D1" s="27" t="s">
        <v>3</v>
      </c>
      <c r="E1" s="27"/>
      <c r="F1" s="27" t="s">
        <v>4</v>
      </c>
      <c r="G1" s="27"/>
      <c r="H1" s="27" t="s">
        <v>4</v>
      </c>
      <c r="I1" s="27"/>
      <c r="J1" s="27" t="s">
        <v>3</v>
      </c>
      <c r="K1" s="27"/>
      <c r="L1" s="24" t="s">
        <v>19</v>
      </c>
      <c r="M1" s="25"/>
      <c r="N1" s="25"/>
      <c r="O1" s="25"/>
      <c r="P1" s="26"/>
      <c r="Q1" s="24" t="s">
        <v>20</v>
      </c>
      <c r="R1" s="25"/>
      <c r="S1" s="25"/>
      <c r="T1" s="25"/>
      <c r="U1" s="26"/>
    </row>
    <row r="2" spans="1:21" ht="18" x14ac:dyDescent="0.25">
      <c r="A2" s="4"/>
      <c r="B2" s="3" t="s">
        <v>0</v>
      </c>
      <c r="C2" s="3" t="s">
        <v>1</v>
      </c>
      <c r="D2" s="3" t="s">
        <v>0</v>
      </c>
      <c r="E2" s="3" t="s">
        <v>1</v>
      </c>
      <c r="F2" s="3" t="s">
        <v>0</v>
      </c>
      <c r="G2" s="3" t="s">
        <v>1</v>
      </c>
      <c r="H2" s="3" t="s">
        <v>17</v>
      </c>
      <c r="I2" s="3" t="s">
        <v>18</v>
      </c>
      <c r="J2" s="3" t="s">
        <v>5</v>
      </c>
      <c r="K2" s="3" t="s">
        <v>6</v>
      </c>
      <c r="L2" s="3" t="s">
        <v>5</v>
      </c>
      <c r="M2" s="3" t="s">
        <v>6</v>
      </c>
      <c r="N2" s="3" t="s">
        <v>7</v>
      </c>
      <c r="O2" s="3" t="s">
        <v>0</v>
      </c>
      <c r="P2" s="3" t="s">
        <v>1</v>
      </c>
      <c r="Q2" s="3" t="s">
        <v>5</v>
      </c>
      <c r="R2" s="3" t="s">
        <v>6</v>
      </c>
      <c r="S2" s="3" t="s">
        <v>7</v>
      </c>
      <c r="T2" s="3" t="s">
        <v>0</v>
      </c>
      <c r="U2" s="3" t="s">
        <v>1</v>
      </c>
    </row>
    <row r="3" spans="1:21" x14ac:dyDescent="0.25">
      <c r="A3" s="7" t="s">
        <v>23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2" t="e">
        <f>NA()</f>
        <v>#N/A</v>
      </c>
      <c r="R3" s="23" t="e">
        <f>NA()</f>
        <v>#N/A</v>
      </c>
      <c r="S3" s="21"/>
      <c r="T3" s="21"/>
      <c r="U3" s="21"/>
    </row>
    <row r="4" spans="1:21" x14ac:dyDescent="0.25">
      <c r="A4" s="7" t="s">
        <v>24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2" t="e">
        <f>NA()</f>
        <v>#N/A</v>
      </c>
      <c r="R4" s="23" t="e">
        <f>NA()</f>
        <v>#N/A</v>
      </c>
      <c r="S4" s="21"/>
      <c r="T4" s="21"/>
      <c r="U4" s="21"/>
    </row>
    <row r="5" spans="1:21" x14ac:dyDescent="0.25">
      <c r="A5" s="12" t="s">
        <v>8</v>
      </c>
      <c r="B5" s="9">
        <v>1.5023473673468299</v>
      </c>
      <c r="C5" s="9">
        <v>1.0160800199038105</v>
      </c>
      <c r="D5" s="8">
        <f t="shared" ref="D5:E8" si="0">B5*0.5</f>
        <v>0.75117368367341497</v>
      </c>
      <c r="E5" s="8">
        <f t="shared" si="0"/>
        <v>0.50804000995190524</v>
      </c>
      <c r="F5" s="8">
        <f>D5/22.99</f>
        <v>3.2673931434250326E-2</v>
      </c>
      <c r="G5" s="8">
        <f>E5/39.1</f>
        <v>1.2993350638156143E-2</v>
      </c>
      <c r="H5" s="8">
        <f t="shared" ref="H5:I8" si="1">F5/2</f>
        <v>1.6336965717125163E-2</v>
      </c>
      <c r="I5" s="8">
        <f t="shared" si="1"/>
        <v>6.4966753190780716E-3</v>
      </c>
      <c r="J5" s="8">
        <f>H5*61.98</f>
        <v>1.0125651351474176</v>
      </c>
      <c r="K5" s="8">
        <f>I5*94.2</f>
        <v>0.61198681505715435</v>
      </c>
      <c r="L5" s="11">
        <f t="shared" ref="L5:M8" si="2">100*(J5/1000)/5</f>
        <v>2.0251302702948351E-2</v>
      </c>
      <c r="M5" s="11">
        <f t="shared" si="2"/>
        <v>1.2239736301143087E-2</v>
      </c>
      <c r="N5" s="11">
        <f>L5+0.658*M5</f>
        <v>2.8305049189100505E-2</v>
      </c>
      <c r="O5" s="10">
        <f>(INDEX('Chemical composition'!B$2:B$12,MATCH('ASTM C311'!$A5,'Chemical composition'!$A$2:$A$12,0))/100)*1000*(22.99/61.98)*5*2</f>
        <v>1.1127783155856728</v>
      </c>
      <c r="P5" s="10">
        <f>(INDEX('Chemical composition'!C$2:C$12,MATCH('ASTM C311'!$A5,'Chemical composition'!$A$2:$A$12,0))/100)*1000*(39.1/94.2)*5*2</f>
        <v>2.4904458598726116</v>
      </c>
      <c r="Q5" s="17">
        <f>100*L5/'Chemical composition'!B4</f>
        <v>67.504342343161184</v>
      </c>
      <c r="R5" s="18">
        <f>100*M5/'Chemical composition'!C4</f>
        <v>20.399560501905146</v>
      </c>
      <c r="S5" s="6">
        <f>100*N5/'Chemical composition'!D4</f>
        <v>40.738412764969063</v>
      </c>
      <c r="T5" s="6">
        <f>100*D5/O5</f>
        <v>67.50434234316117</v>
      </c>
      <c r="U5" s="6">
        <f t="shared" ref="T5:U10" si="3">100*E5/P5</f>
        <v>20.399560501905142</v>
      </c>
    </row>
    <row r="6" spans="1:21" x14ac:dyDescent="0.25">
      <c r="A6" s="12" t="s">
        <v>9</v>
      </c>
      <c r="B6" s="9">
        <v>13.533403155760556</v>
      </c>
      <c r="C6" s="9">
        <v>46.91904096231508</v>
      </c>
      <c r="D6" s="8">
        <f t="shared" si="0"/>
        <v>6.7667015778802782</v>
      </c>
      <c r="E6" s="8">
        <f t="shared" si="0"/>
        <v>23.45952048115754</v>
      </c>
      <c r="F6" s="8">
        <f>D6/22.99</f>
        <v>0.29433238703263498</v>
      </c>
      <c r="G6" s="8">
        <f>E6/39.1</f>
        <v>0.59998773609098566</v>
      </c>
      <c r="H6" s="8">
        <f t="shared" si="1"/>
        <v>0.14716619351631749</v>
      </c>
      <c r="I6" s="8">
        <f t="shared" si="1"/>
        <v>0.29999386804549283</v>
      </c>
      <c r="J6" s="8">
        <f>H6*61.98</f>
        <v>9.1213606741413571</v>
      </c>
      <c r="K6" s="8">
        <f>I6*94.2</f>
        <v>28.259422369885424</v>
      </c>
      <c r="L6" s="11">
        <f t="shared" si="2"/>
        <v>0.18242721348282714</v>
      </c>
      <c r="M6" s="11">
        <f t="shared" si="2"/>
        <v>0.56518844739770846</v>
      </c>
      <c r="N6" s="11">
        <f>L6+0.658*M6</f>
        <v>0.5543212118705193</v>
      </c>
      <c r="O6" s="10">
        <f>(INDEX('Chemical composition'!B$2:B$12,MATCH('ASTM C311'!$A6,'Chemical composition'!$A$2:$A$12,0))/100)*1000*(22.99/61.98)*5*2</f>
        <v>18.175379154565988</v>
      </c>
      <c r="P6" s="10">
        <f>(INDEX('Chemical composition'!C$2:C$12,MATCH('ASTM C311'!$A6,'Chemical composition'!$A$2:$A$12,0))/100)*1000*(39.1/94.2)*5*2</f>
        <v>68.072186836518043</v>
      </c>
      <c r="Q6" s="17">
        <f>100*L6/'Chemical composition'!B5</f>
        <v>37.230043567923907</v>
      </c>
      <c r="R6" s="18">
        <f>100*M6/'Chemical composition'!C5</f>
        <v>34.462710207177352</v>
      </c>
      <c r="S6" s="6">
        <f>100*N6/'Chemical composition'!D5</f>
        <v>19.11452454725929</v>
      </c>
      <c r="T6" s="6">
        <f t="shared" si="3"/>
        <v>37.230043567923914</v>
      </c>
      <c r="U6" s="6">
        <f t="shared" si="3"/>
        <v>34.462710207177352</v>
      </c>
    </row>
    <row r="7" spans="1:21" x14ac:dyDescent="0.25">
      <c r="A7" s="12" t="s">
        <v>10</v>
      </c>
      <c r="B7" s="9">
        <v>18.307537019860799</v>
      </c>
      <c r="C7" s="9">
        <v>27.071072127843845</v>
      </c>
      <c r="D7" s="8">
        <f t="shared" si="0"/>
        <v>9.1537685099303996</v>
      </c>
      <c r="E7" s="8">
        <f t="shared" si="0"/>
        <v>13.535536063921922</v>
      </c>
      <c r="F7" s="8">
        <f>D7/22.99</f>
        <v>0.39816304958374948</v>
      </c>
      <c r="G7" s="8">
        <f>E7/39.1</f>
        <v>0.3461773929391796</v>
      </c>
      <c r="H7" s="8">
        <f t="shared" si="1"/>
        <v>0.19908152479187474</v>
      </c>
      <c r="I7" s="8">
        <f t="shared" si="1"/>
        <v>0.1730886964695898</v>
      </c>
      <c r="J7" s="8">
        <f>H7*61.98</f>
        <v>12.339072906600396</v>
      </c>
      <c r="K7" s="8">
        <f>I7*94.2</f>
        <v>16.304955207435359</v>
      </c>
      <c r="L7" s="11">
        <f t="shared" si="2"/>
        <v>0.24678145813200794</v>
      </c>
      <c r="M7" s="11">
        <f t="shared" si="2"/>
        <v>0.32609910414870724</v>
      </c>
      <c r="N7" s="11">
        <f>L7+0.658*M7</f>
        <v>0.46135466866185731</v>
      </c>
      <c r="O7" s="10">
        <f>(INDEX('Chemical composition'!B$2:B$12,MATCH('ASTM C311'!$A7,'Chemical composition'!$A$2:$A$12,0))/100)*1000*(22.99/61.98)*5*2</f>
        <v>34.125201677960632</v>
      </c>
      <c r="P7" s="10">
        <f>(INDEX('Chemical composition'!C$2:C$12,MATCH('ASTM C311'!$A7,'Chemical composition'!$A$2:$A$12,0))/100)*1000*(39.1/94.2)*5*2</f>
        <v>102.52335456475585</v>
      </c>
      <c r="Q7" s="17">
        <f>100*L7/'Chemical composition'!B6</f>
        <v>26.824071536087818</v>
      </c>
      <c r="R7" s="18">
        <f>100*M7/'Chemical composition'!C6</f>
        <v>13.202392880514463</v>
      </c>
      <c r="S7" s="6">
        <f>100*N7/'Chemical composition'!D6</f>
        <v>18.126033044241346</v>
      </c>
      <c r="T7" s="6">
        <f t="shared" si="3"/>
        <v>26.824071536087814</v>
      </c>
      <c r="U7" s="6">
        <f t="shared" si="3"/>
        <v>13.202392880514459</v>
      </c>
    </row>
    <row r="8" spans="1:21" x14ac:dyDescent="0.25">
      <c r="A8" s="12" t="s">
        <v>11</v>
      </c>
      <c r="B8" s="9">
        <v>17.981290108684931</v>
      </c>
      <c r="C8" s="9">
        <v>45.073251235869137</v>
      </c>
      <c r="D8" s="8">
        <f t="shared" si="0"/>
        <v>8.9906450543424654</v>
      </c>
      <c r="E8" s="8">
        <f t="shared" si="0"/>
        <v>22.536625617934568</v>
      </c>
      <c r="F8" s="8">
        <f>D8/22.99</f>
        <v>0.39106764046726689</v>
      </c>
      <c r="G8" s="8">
        <f>E8/39.1</f>
        <v>0.57638428690369736</v>
      </c>
      <c r="H8" s="8">
        <f t="shared" si="1"/>
        <v>0.19553382023363344</v>
      </c>
      <c r="I8" s="8">
        <f t="shared" si="1"/>
        <v>0.28819214345184868</v>
      </c>
      <c r="J8" s="8">
        <f>H8*61.98</f>
        <v>12.1191861780806</v>
      </c>
      <c r="K8" s="8">
        <f>I8*94.2</f>
        <v>27.147699913164146</v>
      </c>
      <c r="L8" s="11">
        <f t="shared" si="2"/>
        <v>0.24238372356161197</v>
      </c>
      <c r="M8" s="11">
        <f t="shared" si="2"/>
        <v>0.54295399826328294</v>
      </c>
      <c r="N8" s="11">
        <f>L8+0.658*M8</f>
        <v>0.59964745441885214</v>
      </c>
      <c r="O8" s="10">
        <f>(INDEX('Chemical composition'!B$2:B$12,MATCH('ASTM C311'!$A8,'Chemical composition'!$A$2:$A$12,0))/100)*1000*(22.99/61.98)*5*2</f>
        <v>30.045014520813172</v>
      </c>
      <c r="P8" s="10">
        <f>(INDEX('Chemical composition'!C$2:C$12,MATCH('ASTM C311'!$A8,'Chemical composition'!$A$2:$A$12,0))/100)*1000*(39.1/94.2)*5*2</f>
        <v>110.40976645435245</v>
      </c>
      <c r="Q8" s="17">
        <f>100*L8/'Chemical composition'!B7</f>
        <v>29.923916489087894</v>
      </c>
      <c r="R8" s="18">
        <f>100*M8/'Chemical composition'!C7</f>
        <v>20.411804445988079</v>
      </c>
      <c r="S8" s="6">
        <f>100*N8/'Chemical composition'!D7</f>
        <v>23.421166998095991</v>
      </c>
      <c r="T8" s="6">
        <f t="shared" si="3"/>
        <v>29.923916489087894</v>
      </c>
      <c r="U8" s="6">
        <f t="shared" si="3"/>
        <v>20.411804445988079</v>
      </c>
    </row>
    <row r="9" spans="1:21" x14ac:dyDescent="0.25">
      <c r="A9" s="12" t="s">
        <v>12</v>
      </c>
      <c r="B9" s="9">
        <v>24.772637787471471</v>
      </c>
      <c r="C9" s="9">
        <v>217.42148333834882</v>
      </c>
      <c r="D9" s="8">
        <f t="shared" ref="D9:E9" si="4">B9*0.5</f>
        <v>12.386318893735735</v>
      </c>
      <c r="E9" s="8">
        <f t="shared" si="4"/>
        <v>108.71074166917441</v>
      </c>
      <c r="F9" s="8">
        <f t="shared" ref="F9" si="5">D9/22.99</f>
        <v>0.53876985183713511</v>
      </c>
      <c r="G9" s="8">
        <f t="shared" ref="G9" si="6">E9/39.1</f>
        <v>2.7803258738919285</v>
      </c>
      <c r="H9" s="8">
        <f t="shared" ref="H9:I9" si="7">F9/2</f>
        <v>0.26938492591856755</v>
      </c>
      <c r="I9" s="8">
        <f t="shared" si="7"/>
        <v>1.3901629369459643</v>
      </c>
      <c r="J9" s="8">
        <f t="shared" ref="J9" si="8">H9*61.98</f>
        <v>16.696477708432816</v>
      </c>
      <c r="K9" s="8">
        <f t="shared" ref="K9" si="9">I9*94.2</f>
        <v>130.95334866030984</v>
      </c>
      <c r="L9" s="11">
        <f>100*(J9/1000)/5</f>
        <v>0.33392955416865633</v>
      </c>
      <c r="M9" s="11">
        <f t="shared" ref="M9" si="10">100*(K9/1000)/5</f>
        <v>2.6190669732061966</v>
      </c>
      <c r="N9" s="11">
        <f t="shared" ref="N9" si="11">L9+0.658*M9</f>
        <v>2.057275622538334</v>
      </c>
      <c r="O9" s="10">
        <f>(INDEX('Chemical composition'!B$2:B$12,MATCH('ASTM C311'!$A9,'Chemical composition'!$A$2:$A$12,0))/100)*1000*(22.99/61.98)*5*2</f>
        <v>32.270571151984512</v>
      </c>
      <c r="P9" s="10">
        <f>(INDEX('Chemical composition'!C$2:C$12,MATCH('ASTM C311'!$A9,'Chemical composition'!$A$2:$A$12,0))/100)*1000*(39.1/94.2)*5*2</f>
        <v>204.63163481953291</v>
      </c>
      <c r="Q9" s="17">
        <f>100*L9/'Chemical composition'!B8</f>
        <v>38.382707375707625</v>
      </c>
      <c r="R9" s="18">
        <f>100*M9/'Chemical composition'!C8</f>
        <v>53.125090734405617</v>
      </c>
      <c r="S9" s="6">
        <f>100*N9/'Chemical composition'!D8</f>
        <v>50.007428949822653</v>
      </c>
      <c r="T9" s="6">
        <f t="shared" si="3"/>
        <v>38.382707375707625</v>
      </c>
      <c r="U9" s="6">
        <f t="shared" si="3"/>
        <v>53.12509073440561</v>
      </c>
    </row>
    <row r="10" spans="1:21" x14ac:dyDescent="0.25">
      <c r="A10" s="12" t="s">
        <v>13</v>
      </c>
      <c r="B10" s="9">
        <v>24.737520940142868</v>
      </c>
      <c r="C10" s="9">
        <v>402.60077365879187</v>
      </c>
      <c r="D10" s="8">
        <f>B10*0.5</f>
        <v>12.368760470071434</v>
      </c>
      <c r="E10" s="8">
        <f>C10*0.5</f>
        <v>201.30038682939593</v>
      </c>
      <c r="F10" s="8">
        <f>D10/22.99</f>
        <v>0.53800611005095411</v>
      </c>
      <c r="G10" s="8">
        <f>E10/39.1</f>
        <v>5.1483474892428625</v>
      </c>
      <c r="H10" s="8">
        <f>F10/2</f>
        <v>0.26900305502547706</v>
      </c>
      <c r="I10" s="8">
        <f>G10/2</f>
        <v>2.5741737446214312</v>
      </c>
      <c r="J10" s="8">
        <f>H10*61.98</f>
        <v>16.672809350479067</v>
      </c>
      <c r="K10" s="8">
        <f>I10*94.2</f>
        <v>242.48716674333883</v>
      </c>
      <c r="L10" s="11">
        <f>100*(J10/1000)/5</f>
        <v>0.3334561870095813</v>
      </c>
      <c r="M10" s="11">
        <f>100*(K10/1000)/5</f>
        <v>4.8497433348667771</v>
      </c>
      <c r="N10" s="11">
        <f>L10+0.658*M10</f>
        <v>3.5245873013519207</v>
      </c>
      <c r="O10" s="10">
        <f>(INDEX('Chemical composition'!B$2:B$12,MATCH('ASTM C311'!$A10,'Chemical composition'!$A$2:$A$12,0))/100)*1000*(22.99/61.98)*5*2</f>
        <v>26.335753468860922</v>
      </c>
      <c r="P10" s="10">
        <f>(INDEX('Chemical composition'!C$2:C$12,MATCH('ASTM C311'!$A10,'Chemical composition'!$A$2:$A$12,0))/100)*1000*(39.1/94.2)*5*2</f>
        <v>305.07961783439492</v>
      </c>
      <c r="Q10" s="17">
        <f>100*L10/'Chemical composition'!B9</f>
        <v>46.965660142194551</v>
      </c>
      <c r="R10" s="18">
        <f>100*M10/'Chemical composition'!C9</f>
        <v>65.982902515194255</v>
      </c>
      <c r="S10" s="6">
        <f>100*N10/'Chemical composition'!D9</f>
        <v>63.548443130590144</v>
      </c>
      <c r="T10" s="6">
        <f t="shared" si="3"/>
        <v>46.965660142194551</v>
      </c>
      <c r="U10" s="6">
        <f t="shared" si="3"/>
        <v>65.98290251519424</v>
      </c>
    </row>
    <row r="11" spans="1:21" x14ac:dyDescent="0.25">
      <c r="A11" s="12" t="s">
        <v>14</v>
      </c>
      <c r="B11" s="9">
        <v>12.97528298658583</v>
      </c>
      <c r="C11" s="9">
        <v>55.46115161107987</v>
      </c>
      <c r="D11" s="8">
        <f t="shared" ref="D11:E11" si="12">B11*0.5</f>
        <v>6.487641493292915</v>
      </c>
      <c r="E11" s="8">
        <f t="shared" si="12"/>
        <v>27.730575805539935</v>
      </c>
      <c r="F11" s="8">
        <f t="shared" ref="F11" si="13">D11/22.99</f>
        <v>0.28219406234418942</v>
      </c>
      <c r="G11" s="8">
        <f t="shared" ref="G11" si="14">E11/39.1</f>
        <v>0.70922188760971694</v>
      </c>
      <c r="H11" s="8">
        <f t="shared" ref="H11:I11" si="15">F11/2</f>
        <v>0.14109703117209471</v>
      </c>
      <c r="I11" s="8">
        <f t="shared" si="15"/>
        <v>0.35461094380485847</v>
      </c>
      <c r="J11" s="8">
        <f t="shared" ref="J11" si="16">H11*61.98</f>
        <v>8.7451939920464294</v>
      </c>
      <c r="K11" s="8">
        <f t="shared" ref="K11" si="17">I11*94.2</f>
        <v>33.404350906417669</v>
      </c>
      <c r="L11" s="11">
        <f t="shared" ref="L11:M11" si="18">100*(J11/1000)/5</f>
        <v>0.17490387984092859</v>
      </c>
      <c r="M11" s="11">
        <f t="shared" si="18"/>
        <v>0.66808701812835336</v>
      </c>
      <c r="N11" s="11">
        <f t="shared" ref="N11" si="19">L11+0.658*M11</f>
        <v>0.61450513776938509</v>
      </c>
      <c r="O11" s="10">
        <f>(INDEX('Chemical composition'!B$2:B$12,MATCH('ASTM C311'!$A11,'Chemical composition'!$A$2:$A$12,0))/100)*1000*(22.99/61.98)*5*2</f>
        <v>38.205388835108103</v>
      </c>
      <c r="P11" s="10">
        <f>(INDEX('Chemical composition'!C$2:C$12,MATCH('ASTM C311'!$A11,'Chemical composition'!$A$2:$A$12,0))/100)*1000*(39.1/94.2)*5*2</f>
        <v>100.86305732484077</v>
      </c>
      <c r="Q11" s="17">
        <f>100*L11/'Chemical composition'!B10</f>
        <v>16.980959207857143</v>
      </c>
      <c r="R11" s="18">
        <f>100*M11/'Chemical composition'!C10</f>
        <v>27.493292927092728</v>
      </c>
      <c r="S11" s="6">
        <f>100*N11/'Chemical composition'!D10</f>
        <v>23.374635319535063</v>
      </c>
      <c r="T11" s="6">
        <f t="shared" ref="T11" si="20">100*D11/O11</f>
        <v>16.980959207857147</v>
      </c>
      <c r="U11" s="6">
        <f t="shared" ref="U11" si="21">100*E11/P11</f>
        <v>27.493292927092732</v>
      </c>
    </row>
    <row r="12" spans="1:21" x14ac:dyDescent="0.25">
      <c r="A12" s="12" t="s">
        <v>15</v>
      </c>
      <c r="B12" s="9">
        <v>13.650960061340431</v>
      </c>
      <c r="C12" s="9">
        <v>33.545366040686822</v>
      </c>
      <c r="D12" s="8">
        <f>B12*0.5</f>
        <v>6.8254800306702155</v>
      </c>
      <c r="E12" s="8">
        <f>C12*0.5</f>
        <v>16.772683020343411</v>
      </c>
      <c r="F12" s="8">
        <f>D12/22.99</f>
        <v>0.29688908354372406</v>
      </c>
      <c r="G12" s="8">
        <f>E12/39.1</f>
        <v>0.42896887520059873</v>
      </c>
      <c r="H12" s="8">
        <f>F12/2</f>
        <v>0.14844454177186203</v>
      </c>
      <c r="I12" s="8">
        <f>G12/2</f>
        <v>0.21448443760029937</v>
      </c>
      <c r="J12" s="8">
        <f>H12*61.98</f>
        <v>9.2005926990200084</v>
      </c>
      <c r="K12" s="8">
        <f>I12*94.2</f>
        <v>20.204434021948202</v>
      </c>
      <c r="L12" s="11">
        <f>100*(J12/1000)/5</f>
        <v>0.18401185398040018</v>
      </c>
      <c r="M12" s="11">
        <f>100*(K12/1000)/5</f>
        <v>0.40408868043896407</v>
      </c>
      <c r="N12" s="11">
        <f>L12+0.658*M12</f>
        <v>0.44990220570923856</v>
      </c>
      <c r="O12" s="10">
        <f>(INDEX('Chemical composition'!B$2:B$12,MATCH('ASTM C311'!$A12,'Chemical composition'!$A$2:$A$12,0))/100)*1000*(22.99/61.98)*5*2</f>
        <v>39.318167150693775</v>
      </c>
      <c r="P12" s="10">
        <f>(INDEX('Chemical composition'!C$2:C$12,MATCH('ASTM C311'!$A12,'Chemical composition'!$A$2:$A$12,0))/100)*1000*(39.1/94.2)*5*2</f>
        <v>116.63588110403397</v>
      </c>
      <c r="Q12" s="17">
        <f>100*L12/'Chemical composition'!B11</f>
        <v>17.359608866075487</v>
      </c>
      <c r="R12" s="18">
        <f>100*M12/'Chemical composition'!C11</f>
        <v>14.380380086795872</v>
      </c>
      <c r="S12" s="6">
        <f>100*N12/'Chemical composition'!D11</f>
        <v>15.465977961664862</v>
      </c>
      <c r="T12" s="6">
        <f>100*D12/O12</f>
        <v>17.359608866075487</v>
      </c>
      <c r="U12" s="6">
        <f>100*E12/P12</f>
        <v>14.380380086795872</v>
      </c>
    </row>
    <row r="13" spans="1:21" x14ac:dyDescent="0.25">
      <c r="A13" s="12" t="s">
        <v>16</v>
      </c>
      <c r="B13" s="9">
        <v>84.653327446543386</v>
      </c>
      <c r="C13" s="9">
        <v>1.7215843163739695</v>
      </c>
      <c r="D13" s="8">
        <f>B13*0.5</f>
        <v>42.326663723271693</v>
      </c>
      <c r="E13" s="8">
        <f>C13*0.5</f>
        <v>0.86079215818698473</v>
      </c>
      <c r="F13" s="8">
        <f>D13/22.99</f>
        <v>1.8410902010992474</v>
      </c>
      <c r="G13" s="8">
        <f>E13/39.1</f>
        <v>2.2015144710664569E-2</v>
      </c>
      <c r="H13" s="8">
        <f>F13/2</f>
        <v>0.92054510054962368</v>
      </c>
      <c r="I13" s="8">
        <f>G13/2</f>
        <v>1.1007572355332285E-2</v>
      </c>
      <c r="J13" s="8">
        <f>H13*61.98</f>
        <v>57.055385332065676</v>
      </c>
      <c r="K13" s="8">
        <f>I13*94.2</f>
        <v>1.0369133158723012</v>
      </c>
      <c r="L13" s="11">
        <f>100*(J13/1000)/5</f>
        <v>1.1411077066413136</v>
      </c>
      <c r="M13" s="11">
        <f>100*(K13/1000)/5</f>
        <v>2.0738266317446026E-2</v>
      </c>
      <c r="N13" s="11">
        <f>L13+0.658*M13</f>
        <v>1.1547534858781932</v>
      </c>
      <c r="O13" s="10">
        <f>(INDEX('Chemical composition'!B$2:B$12,MATCH('ASTM C311'!$A13,'Chemical composition'!$A$2:$A$12,0))/100)*1000*(22.99/61.98)*5*2</f>
        <v>505.57228138109076</v>
      </c>
      <c r="P13" s="10">
        <f>(INDEX('Chemical composition'!C$2:C$12,MATCH('ASTM C311'!$A13,'Chemical composition'!$A$2:$A$12,0))/100)*1000*(39.1/94.2)*5*2</f>
        <v>8.7165605095541405</v>
      </c>
      <c r="Q13" s="17">
        <f>100*L13/'Chemical composition'!B12</f>
        <v>8.3720301294300334</v>
      </c>
      <c r="R13" s="18">
        <f>100*M13/'Chemical composition'!C12</f>
        <v>9.8753649130695376</v>
      </c>
      <c r="S13" s="6">
        <f>100*N13/'Chemical composition'!D12</f>
        <v>8.3871178752616036</v>
      </c>
      <c r="T13" s="6">
        <f>100*D13/O13</f>
        <v>8.3720301294300317</v>
      </c>
      <c r="U13" s="6">
        <f>100*E13/P13</f>
        <v>9.8753649130695358</v>
      </c>
    </row>
    <row r="18" spans="2:2" x14ac:dyDescent="0.25">
      <c r="B18"/>
    </row>
    <row r="19" spans="2:2" x14ac:dyDescent="0.25">
      <c r="B19"/>
    </row>
    <row r="20" spans="2:2" x14ac:dyDescent="0.25">
      <c r="B20"/>
    </row>
    <row r="21" spans="2:2" x14ac:dyDescent="0.25">
      <c r="B21"/>
    </row>
    <row r="22" spans="2:2" x14ac:dyDescent="0.25">
      <c r="B22"/>
    </row>
    <row r="23" spans="2:2" x14ac:dyDescent="0.25">
      <c r="B23"/>
    </row>
    <row r="24" spans="2:2" x14ac:dyDescent="0.25">
      <c r="B24"/>
    </row>
    <row r="25" spans="2:2" x14ac:dyDescent="0.25">
      <c r="B25"/>
    </row>
    <row r="26" spans="2:2" x14ac:dyDescent="0.25">
      <c r="B26"/>
    </row>
  </sheetData>
  <mergeCells count="7">
    <mergeCell ref="Q1:U1"/>
    <mergeCell ref="B1:C1"/>
    <mergeCell ref="D1:E1"/>
    <mergeCell ref="F1:G1"/>
    <mergeCell ref="H1:I1"/>
    <mergeCell ref="J1:K1"/>
    <mergeCell ref="L1:P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438D1-0C12-404D-86AB-4CD3921D1ABF}">
  <dimension ref="A1:K13"/>
  <sheetViews>
    <sheetView workbookViewId="0">
      <selection activeCell="F16" sqref="F16"/>
    </sheetView>
  </sheetViews>
  <sheetFormatPr defaultRowHeight="15" x14ac:dyDescent="0.25"/>
  <cols>
    <col min="1" max="11" width="8.7109375" customWidth="1"/>
  </cols>
  <sheetData>
    <row r="1" spans="1:11" x14ac:dyDescent="0.25">
      <c r="A1" s="15"/>
      <c r="B1" s="28" t="s">
        <v>2</v>
      </c>
      <c r="C1" s="28"/>
      <c r="D1" s="28" t="s">
        <v>21</v>
      </c>
      <c r="E1" s="28"/>
      <c r="F1" s="28" t="s">
        <v>28</v>
      </c>
      <c r="G1" s="28"/>
      <c r="H1" s="28"/>
      <c r="I1" s="28"/>
      <c r="J1" s="28" t="s">
        <v>22</v>
      </c>
      <c r="K1" s="28"/>
    </row>
    <row r="2" spans="1:11" x14ac:dyDescent="0.25">
      <c r="A2" s="15"/>
      <c r="B2" s="16" t="s">
        <v>0</v>
      </c>
      <c r="C2" s="16" t="s">
        <v>1</v>
      </c>
      <c r="D2" s="16" t="s">
        <v>0</v>
      </c>
      <c r="E2" s="16" t="s">
        <v>1</v>
      </c>
      <c r="F2" s="16" t="s">
        <v>0</v>
      </c>
      <c r="G2" s="16" t="s">
        <v>1</v>
      </c>
      <c r="H2" s="16" t="s">
        <v>17</v>
      </c>
      <c r="I2" s="16" t="s">
        <v>18</v>
      </c>
      <c r="J2" s="16" t="s">
        <v>17</v>
      </c>
      <c r="K2" s="16" t="s">
        <v>18</v>
      </c>
    </row>
    <row r="3" spans="1:11" x14ac:dyDescent="0.25">
      <c r="A3" s="1" t="s">
        <v>23</v>
      </c>
      <c r="B3" s="2">
        <v>48.348514730085434</v>
      </c>
      <c r="C3" s="2">
        <v>96.561877937120116</v>
      </c>
      <c r="D3" s="2">
        <f>B3*2*0.25</f>
        <v>24.174257365042717</v>
      </c>
      <c r="E3" s="2">
        <f t="shared" ref="E3:E4" si="0">C3*2*0.25</f>
        <v>48.280938968560058</v>
      </c>
      <c r="F3" s="2">
        <f>100*((D3/1000)/25)</f>
        <v>9.6697029460170864E-2</v>
      </c>
      <c r="G3" s="2">
        <f>100*((E3/1000)/25)</f>
        <v>0.19312375587424024</v>
      </c>
      <c r="H3" s="2">
        <f>F3*(61.98/(22.99*2))</f>
        <v>0.13034540856766835</v>
      </c>
      <c r="I3" s="2">
        <f>G3*(94.2/(39.1*2))</f>
        <v>0.2326375678178188</v>
      </c>
      <c r="J3" s="19">
        <f>100*H3/INDEX('Chemical composition'!B$2:B$12,MATCH('ASTM C114'!$A3,'Chemical composition'!$A$2:$A$12,0))</f>
        <v>39.498608656869195</v>
      </c>
      <c r="K3" s="20">
        <f>100*I3/INDEX('Chemical composition'!C$2:C$12,MATCH('ASTM C114'!$A3,'Chemical composition'!$A$2:$A$12,0))</f>
        <v>61.220412583636524</v>
      </c>
    </row>
    <row r="4" spans="1:11" x14ac:dyDescent="0.25">
      <c r="A4" s="1" t="s">
        <v>24</v>
      </c>
      <c r="B4" s="2">
        <v>83.439546154610213</v>
      </c>
      <c r="C4" s="2">
        <v>341.99962950862459</v>
      </c>
      <c r="D4" s="2">
        <f t="shared" ref="D4" si="1">B4*2*0.25</f>
        <v>41.719773077305106</v>
      </c>
      <c r="E4" s="2">
        <f t="shared" si="0"/>
        <v>170.9998147543123</v>
      </c>
      <c r="F4" s="2">
        <f t="shared" ref="F4:G13" si="2">100*((D4/1000)/25)</f>
        <v>0.16687909230922043</v>
      </c>
      <c r="G4" s="2">
        <f t="shared" si="2"/>
        <v>0.68399925901724923</v>
      </c>
      <c r="H4" s="2">
        <f t="shared" ref="H4:H13" si="3">F4*(61.98/(22.99*2))</f>
        <v>0.2249492418731075</v>
      </c>
      <c r="I4" s="2">
        <f t="shared" ref="I4:I13" si="4">G4*(94.2/(39.1*2))</f>
        <v>0.82394795651438457</v>
      </c>
      <c r="J4" s="19">
        <f>100*H4/INDEX('Chemical composition'!B$2:B$12,MATCH('ASTM C114'!$A4,'Chemical composition'!$A$2:$A$12,0))</f>
        <v>49.98872041624611</v>
      </c>
      <c r="K4" s="20">
        <f>100*I4/INDEX('Chemical composition'!C$2:C$12,MATCH('ASTM C114'!$A4,'Chemical composition'!$A$2:$A$12,0))</f>
        <v>69.826098009693609</v>
      </c>
    </row>
    <row r="5" spans="1:11" x14ac:dyDescent="0.25">
      <c r="A5" s="1" t="s">
        <v>8</v>
      </c>
      <c r="B5" s="2">
        <v>1.4496105630139957</v>
      </c>
      <c r="C5" s="2">
        <v>0.98442306492267639</v>
      </c>
      <c r="D5" s="2">
        <f>B5*2*0.25</f>
        <v>0.72480528150699786</v>
      </c>
      <c r="E5" s="2">
        <f>C5*2*0.25</f>
        <v>0.4922115324613382</v>
      </c>
      <c r="F5" s="2">
        <f t="shared" si="2"/>
        <v>2.8992211260279914E-3</v>
      </c>
      <c r="G5" s="2">
        <f t="shared" si="2"/>
        <v>1.9688461298453526E-3</v>
      </c>
      <c r="H5" s="2">
        <f t="shared" si="3"/>
        <v>3.90808450176631E-3</v>
      </c>
      <c r="I5" s="2">
        <f t="shared" si="4"/>
        <v>2.371679097588647E-3</v>
      </c>
      <c r="J5" s="19">
        <f>100*H5/INDEX('Chemical composition'!B$2:B$12,MATCH('ASTM C114'!$A5,'Chemical composition'!$A$2:$A$12,0))</f>
        <v>13.026948339221034</v>
      </c>
      <c r="K5" s="20">
        <f>100*I5/INDEX('Chemical composition'!C$2:C$12,MATCH('ASTM C114'!$A5,'Chemical composition'!$A$2:$A$12,0))</f>
        <v>3.9527984959810785</v>
      </c>
    </row>
    <row r="6" spans="1:11" x14ac:dyDescent="0.25">
      <c r="A6" s="1" t="s">
        <v>9</v>
      </c>
      <c r="B6" s="2">
        <v>10.507367944027223</v>
      </c>
      <c r="C6" s="2">
        <v>3.1727985425892515</v>
      </c>
      <c r="D6" s="2">
        <f t="shared" ref="D6:E13" si="5">B6*2*0.25</f>
        <v>5.2536839720136115</v>
      </c>
      <c r="E6" s="2">
        <f t="shared" si="5"/>
        <v>1.5863992712946258</v>
      </c>
      <c r="F6" s="2">
        <f t="shared" si="2"/>
        <v>2.1014735888054446E-2</v>
      </c>
      <c r="G6" s="2">
        <f t="shared" si="2"/>
        <v>6.3455970851785028E-3</v>
      </c>
      <c r="H6" s="2">
        <f t="shared" si="3"/>
        <v>2.8327388654667565E-2</v>
      </c>
      <c r="I6" s="2">
        <f t="shared" si="4"/>
        <v>7.6439289696140023E-3</v>
      </c>
      <c r="J6" s="19">
        <f>100*H6/INDEX('Chemical composition'!B$2:B$12,MATCH('ASTM C114'!$A6,'Chemical composition'!$A$2:$A$12,0))</f>
        <v>5.7810997254423606</v>
      </c>
      <c r="K6" s="20">
        <f>100*I6/INDEX('Chemical composition'!C$2:C$12,MATCH('ASTM C114'!$A6,'Chemical composition'!$A$2:$A$12,0))</f>
        <v>0.46609322985451235</v>
      </c>
    </row>
    <row r="7" spans="1:11" x14ac:dyDescent="0.25">
      <c r="A7" s="1" t="s">
        <v>10</v>
      </c>
      <c r="B7" s="2">
        <v>17.678205059971734</v>
      </c>
      <c r="C7" s="2">
        <v>8.7247098812737267</v>
      </c>
      <c r="D7" s="2">
        <f t="shared" si="5"/>
        <v>8.8391025299858672</v>
      </c>
      <c r="E7" s="2">
        <f t="shared" si="5"/>
        <v>4.3623549406368634</v>
      </c>
      <c r="F7" s="2">
        <f t="shared" si="2"/>
        <v>3.535641011994347E-2</v>
      </c>
      <c r="G7" s="2">
        <f t="shared" si="2"/>
        <v>1.7449419762547453E-2</v>
      </c>
      <c r="H7" s="2">
        <f t="shared" si="3"/>
        <v>4.765964113166804E-2</v>
      </c>
      <c r="I7" s="2">
        <f t="shared" si="4"/>
        <v>2.1019633524705501E-2</v>
      </c>
      <c r="J7" s="19">
        <f>100*H7/INDEX('Chemical composition'!B$2:B$12,MATCH('ASTM C114'!$A7,'Chemical composition'!$A$2:$A$12,0))</f>
        <v>5.1803957751813083</v>
      </c>
      <c r="K7" s="20">
        <f>100*I7/INDEX('Chemical composition'!C$2:C$12,MATCH('ASTM C114'!$A7,'Chemical composition'!$A$2:$A$12,0))</f>
        <v>0.85099730869253032</v>
      </c>
    </row>
    <row r="8" spans="1:11" x14ac:dyDescent="0.25">
      <c r="A8" s="1" t="s">
        <v>11</v>
      </c>
      <c r="B8" s="2">
        <v>8.5071066044663777</v>
      </c>
      <c r="C8" s="2">
        <v>6.8787939215205105</v>
      </c>
      <c r="D8" s="2">
        <f t="shared" si="5"/>
        <v>4.2535533022331888</v>
      </c>
      <c r="E8" s="2">
        <f t="shared" si="5"/>
        <v>3.4393969607602553</v>
      </c>
      <c r="F8" s="2">
        <f t="shared" si="2"/>
        <v>1.7014213208932757E-2</v>
      </c>
      <c r="G8" s="2">
        <f t="shared" si="2"/>
        <v>1.3757587843041019E-2</v>
      </c>
      <c r="H8" s="2">
        <f t="shared" si="3"/>
        <v>2.2934774569152942E-2</v>
      </c>
      <c r="I8" s="2">
        <f t="shared" si="4"/>
        <v>1.6572439575632533E-2</v>
      </c>
      <c r="J8" s="19">
        <f>100*H8/INDEX('Chemical composition'!B$2:B$12,MATCH('ASTM C114'!$A8,'Chemical composition'!$A$2:$A$12,0))</f>
        <v>2.8314536505127088</v>
      </c>
      <c r="K8" s="20">
        <f>100*I8/INDEX('Chemical composition'!C$2:C$12,MATCH('ASTM C114'!$A8,'Chemical composition'!$A$2:$A$12,0))</f>
        <v>0.62302404419671165</v>
      </c>
    </row>
    <row r="9" spans="1:11" x14ac:dyDescent="0.25">
      <c r="A9" s="1" t="s">
        <v>12</v>
      </c>
      <c r="B9" s="2">
        <v>24.404907720264145</v>
      </c>
      <c r="C9" s="2">
        <v>379.15977955716761</v>
      </c>
      <c r="D9" s="2">
        <f t="shared" si="5"/>
        <v>12.202453860132072</v>
      </c>
      <c r="E9" s="2">
        <f t="shared" si="5"/>
        <v>189.57988977858381</v>
      </c>
      <c r="F9" s="2">
        <f t="shared" si="2"/>
        <v>4.8809815440528287E-2</v>
      </c>
      <c r="G9" s="2">
        <f t="shared" si="2"/>
        <v>0.75831955911433524</v>
      </c>
      <c r="H9" s="2">
        <f t="shared" si="3"/>
        <v>6.5794527207567274E-2</v>
      </c>
      <c r="I9" s="2">
        <f t="shared" si="4"/>
        <v>0.91347445611982581</v>
      </c>
      <c r="J9" s="19">
        <f>100*H9/INDEX('Chemical composition'!B$2:B$12,MATCH('ASTM C114'!$A9,'Chemical composition'!$A$2:$A$12,0))</f>
        <v>7.5625893342031345</v>
      </c>
      <c r="K9" s="20">
        <f>100*I9/INDEX('Chemical composition'!C$2:C$12,MATCH('ASTM C114'!$A9,'Chemical composition'!$A$2:$A$12,0))</f>
        <v>18.528893633262186</v>
      </c>
    </row>
    <row r="10" spans="1:11" x14ac:dyDescent="0.25">
      <c r="A10" s="1" t="s">
        <v>13</v>
      </c>
      <c r="B10" s="2">
        <v>52.996468936141881</v>
      </c>
      <c r="C10" s="2">
        <v>1135.1726200989931</v>
      </c>
      <c r="D10" s="2">
        <f t="shared" si="5"/>
        <v>26.49823446807094</v>
      </c>
      <c r="E10" s="2">
        <f t="shared" si="5"/>
        <v>567.58631004949655</v>
      </c>
      <c r="F10" s="2">
        <f t="shared" si="2"/>
        <v>0.10599293787228377</v>
      </c>
      <c r="G10" s="2">
        <f t="shared" si="2"/>
        <v>2.2703452401979862</v>
      </c>
      <c r="H10" s="2">
        <f t="shared" si="3"/>
        <v>0.14287608284741515</v>
      </c>
      <c r="I10" s="2">
        <f t="shared" si="4"/>
        <v>2.7348660054558862</v>
      </c>
      <c r="J10" s="19">
        <f>100*H10/INDEX('Chemical composition'!B$2:B$12,MATCH('ASTM C114'!$A10,'Chemical composition'!$A$2:$A$12,0))</f>
        <v>20.123391950340164</v>
      </c>
      <c r="K10" s="20">
        <f>100*I10/INDEX('Chemical composition'!C$2:C$12,MATCH('ASTM C114'!$A10,'Chemical composition'!$A$2:$A$12,0))</f>
        <v>37.20906129871954</v>
      </c>
    </row>
    <row r="11" spans="1:11" x14ac:dyDescent="0.25">
      <c r="A11" s="1" t="s">
        <v>14</v>
      </c>
      <c r="B11" s="2">
        <v>4.3692350034820562</v>
      </c>
      <c r="C11" s="2">
        <v>3.727410657092892</v>
      </c>
      <c r="D11" s="2">
        <f t="shared" si="5"/>
        <v>2.1846175017410281</v>
      </c>
      <c r="E11" s="2">
        <f t="shared" si="5"/>
        <v>1.863705328546446</v>
      </c>
      <c r="F11" s="2">
        <f t="shared" si="2"/>
        <v>8.7384700069641115E-3</v>
      </c>
      <c r="G11" s="2">
        <f t="shared" si="2"/>
        <v>7.4548213141857837E-3</v>
      </c>
      <c r="H11" s="2">
        <f t="shared" si="3"/>
        <v>1.1779259918043404E-2</v>
      </c>
      <c r="I11" s="2">
        <f t="shared" si="4"/>
        <v>8.9801044475230282E-3</v>
      </c>
      <c r="J11" s="19">
        <f>100*H11/INDEX('Chemical composition'!B$2:B$12,MATCH('ASTM C114'!$A11,'Chemical composition'!$A$2:$A$12,0))</f>
        <v>1.1436174677712041</v>
      </c>
      <c r="K11" s="20">
        <f>100*I11/INDEX('Chemical composition'!C$2:C$12,MATCH('ASTM C114'!$A11,'Chemical composition'!$A$2:$A$12,0))</f>
        <v>0.36955162335485714</v>
      </c>
    </row>
    <row r="12" spans="1:11" x14ac:dyDescent="0.25">
      <c r="A12" s="1" t="s">
        <v>15</v>
      </c>
      <c r="B12" s="2">
        <v>2.5366654418429677</v>
      </c>
      <c r="C12" s="2">
        <v>4.0899426929262033</v>
      </c>
      <c r="D12" s="2">
        <f t="shared" si="5"/>
        <v>1.2683327209214839</v>
      </c>
      <c r="E12" s="2">
        <f t="shared" si="5"/>
        <v>2.0449713464631016</v>
      </c>
      <c r="F12" s="2">
        <f t="shared" si="2"/>
        <v>5.0733308836859352E-3</v>
      </c>
      <c r="G12" s="2">
        <f t="shared" si="2"/>
        <v>8.1798853858524069E-3</v>
      </c>
      <c r="H12" s="2">
        <f t="shared" si="3"/>
        <v>6.8387352799228855E-3</v>
      </c>
      <c r="I12" s="2">
        <f t="shared" si="4"/>
        <v>9.8535192243899838E-3</v>
      </c>
      <c r="J12" s="19">
        <f>100*H12/INDEX('Chemical composition'!B$2:B$12,MATCH('ASTM C114'!$A12,'Chemical composition'!$A$2:$A$12,0))</f>
        <v>0.64516370565310233</v>
      </c>
      <c r="K12" s="20">
        <f>100*I12/INDEX('Chemical composition'!C$2:C$12,MATCH('ASTM C114'!$A12,'Chemical composition'!$A$2:$A$12,0))</f>
        <v>0.35065904713131613</v>
      </c>
    </row>
    <row r="13" spans="1:11" x14ac:dyDescent="0.25">
      <c r="A13" s="1" t="s">
        <v>16</v>
      </c>
      <c r="B13" s="2">
        <v>6.6807069931929117</v>
      </c>
      <c r="C13" s="2">
        <v>0.1581460170795288</v>
      </c>
      <c r="D13" s="2">
        <f t="shared" si="5"/>
        <v>3.3403534965964559</v>
      </c>
      <c r="E13" s="2">
        <f t="shared" si="5"/>
        <v>7.90730085397644E-2</v>
      </c>
      <c r="F13" s="2">
        <f t="shared" si="2"/>
        <v>1.3361413986385823E-2</v>
      </c>
      <c r="G13" s="2">
        <f t="shared" si="2"/>
        <v>3.1629203415905761E-4</v>
      </c>
      <c r="H13" s="2">
        <f t="shared" si="3"/>
        <v>1.8010883838107727E-2</v>
      </c>
      <c r="I13" s="2">
        <f t="shared" si="4"/>
        <v>3.810065168514479E-4</v>
      </c>
      <c r="J13" s="19">
        <f>100*H13/INDEX('Chemical composition'!B$2:B$12,MATCH('ASTM C114'!$A13,'Chemical composition'!$A$2:$A$12,0))</f>
        <v>0.13214148083718069</v>
      </c>
      <c r="K13" s="20">
        <f>100*I13/INDEX('Chemical composition'!C$2:C$12,MATCH('ASTM C114'!$A13,'Chemical composition'!$A$2:$A$12,0))</f>
        <v>0.18143167469116567</v>
      </c>
    </row>
  </sheetData>
  <mergeCells count="4">
    <mergeCell ref="J1:K1"/>
    <mergeCell ref="F1:I1"/>
    <mergeCell ref="B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8100F-0CAF-47FB-99D0-7A95B18AAC8C}">
  <dimension ref="L3:L6"/>
  <sheetViews>
    <sheetView tabSelected="1" workbookViewId="0">
      <selection activeCell="M10" sqref="M10"/>
    </sheetView>
  </sheetViews>
  <sheetFormatPr defaultRowHeight="15" x14ac:dyDescent="0.25"/>
  <sheetData>
    <row r="3" spans="12:12" x14ac:dyDescent="0.25">
      <c r="L3" t="s">
        <v>30</v>
      </c>
    </row>
    <row r="4" spans="12:12" x14ac:dyDescent="0.25">
      <c r="L4" t="s">
        <v>29</v>
      </c>
    </row>
    <row r="5" spans="12:12" x14ac:dyDescent="0.25">
      <c r="L5" t="s">
        <v>32</v>
      </c>
    </row>
    <row r="6" spans="12:12" x14ac:dyDescent="0.25">
      <c r="L6" t="s">
        <v>31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Chemical composition</vt:lpstr>
      <vt:lpstr>ASTM C311</vt:lpstr>
      <vt:lpstr>ASTM C114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 Ranger</dc:creator>
  <cp:lastModifiedBy>Maxime Ranger</cp:lastModifiedBy>
  <dcterms:created xsi:type="dcterms:W3CDTF">2015-06-05T18:19:34Z</dcterms:created>
  <dcterms:modified xsi:type="dcterms:W3CDTF">2023-04-06T07:45:40Z</dcterms:modified>
</cp:coreProperties>
</file>