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K:\DT\BBM\BYG\MAXR\Publications\2. Cold Water Extraction for determination of the free alkali metal content in blended cement paste\Data\"/>
    </mc:Choice>
  </mc:AlternateContent>
  <xr:revisionPtr revIDLastSave="0" documentId="13_ncr:1_{DA16FF82-E4A3-4050-A079-DBE8A96417C9}" xr6:coauthVersionLast="47" xr6:coauthVersionMax="47" xr10:uidLastSave="{00000000-0000-0000-0000-000000000000}"/>
  <bookViews>
    <workbookView xWindow="22932" yWindow="-108" windowWidth="23256" windowHeight="12576" tabRatio="780" firstSheet="2" activeTab="15" xr2:uid="{00000000-000D-0000-FFFF-FFFF00000000}"/>
  </bookViews>
  <sheets>
    <sheet name="MAC" sheetId="16" r:id="rId1"/>
    <sheet name="Reference-aQuartz" sheetId="2" r:id="rId2"/>
    <sheet name="LA-Ref 0.4" sheetId="29" r:id="rId3"/>
    <sheet name="LA-Ref 0.5" sheetId="28" r:id="rId4"/>
    <sheet name="LA-Ref 0.6" sheetId="30" r:id="rId5"/>
    <sheet name="HA-Ref" sheetId="33" r:id="rId6"/>
    <sheet name="LA-LL" sheetId="10" r:id="rId7"/>
    <sheet name="LA-FA" sheetId="11" r:id="rId8"/>
    <sheet name="LA-BA1" sheetId="17" r:id="rId9"/>
    <sheet name="LA-BA2" sheetId="18" r:id="rId10"/>
    <sheet name="LA-CC1" sheetId="20" r:id="rId11"/>
    <sheet name="LA-CC2" sheetId="21" r:id="rId12"/>
    <sheet name="LA-SSA" sheetId="14" r:id="rId13"/>
    <sheet name="LA-CB" sheetId="15" r:id="rId14"/>
    <sheet name="LA-GB" sheetId="34" r:id="rId15"/>
    <sheet name="LA-GB_f" sheetId="35" r:id="rId16"/>
  </sheets>
  <externalReferences>
    <externalReference r:id="rId1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35" l="1"/>
  <c r="K31" i="35"/>
  <c r="L30" i="35"/>
  <c r="K30" i="35"/>
  <c r="L29" i="35"/>
  <c r="K29" i="35"/>
  <c r="L28" i="35"/>
  <c r="K28" i="35"/>
  <c r="L27" i="35"/>
  <c r="K27" i="35"/>
  <c r="B63" i="35"/>
  <c r="D62" i="35"/>
  <c r="E61" i="35"/>
  <c r="D61" i="35"/>
  <c r="C61" i="35"/>
  <c r="B61" i="35"/>
  <c r="D60" i="35"/>
  <c r="B60" i="35"/>
  <c r="D59" i="35"/>
  <c r="B59" i="35"/>
  <c r="D58" i="35"/>
  <c r="B58" i="35"/>
  <c r="D57" i="35"/>
  <c r="B57" i="35"/>
  <c r="D56" i="35"/>
  <c r="B56" i="35"/>
  <c r="D55" i="35"/>
  <c r="B55" i="35"/>
  <c r="S54" i="35"/>
  <c r="D54" i="35"/>
  <c r="B54" i="35"/>
  <c r="S53" i="35"/>
  <c r="D53" i="35"/>
  <c r="B53" i="35"/>
  <c r="S52" i="35"/>
  <c r="D52" i="35"/>
  <c r="B52" i="35"/>
  <c r="S51" i="35"/>
  <c r="D51" i="35"/>
  <c r="B51" i="35"/>
  <c r="D50" i="35"/>
  <c r="B50" i="35"/>
  <c r="S49" i="35"/>
  <c r="D49" i="35"/>
  <c r="B49" i="35"/>
  <c r="D40" i="35"/>
  <c r="E39" i="35"/>
  <c r="D39" i="35"/>
  <c r="C39" i="35"/>
  <c r="B39" i="35"/>
  <c r="D38" i="35"/>
  <c r="B38" i="35"/>
  <c r="D37" i="35"/>
  <c r="B37" i="35"/>
  <c r="D36" i="35"/>
  <c r="B36" i="35"/>
  <c r="D35" i="35"/>
  <c r="B35" i="35"/>
  <c r="D34" i="35"/>
  <c r="B34" i="35"/>
  <c r="D33" i="35"/>
  <c r="B33" i="35"/>
  <c r="D32" i="35"/>
  <c r="B32" i="35"/>
  <c r="S31" i="35"/>
  <c r="S32" i="35" s="1"/>
  <c r="D31" i="35"/>
  <c r="B31" i="35"/>
  <c r="S30" i="35"/>
  <c r="D30" i="35"/>
  <c r="B30" i="35"/>
  <c r="S29" i="35"/>
  <c r="D29" i="35"/>
  <c r="B29" i="35"/>
  <c r="D28" i="35"/>
  <c r="B28" i="35"/>
  <c r="S27" i="35"/>
  <c r="D27" i="35"/>
  <c r="B27" i="35"/>
  <c r="B41" i="35" s="1"/>
  <c r="C54" i="35" s="1"/>
  <c r="E54" i="35" s="1"/>
  <c r="B19" i="35"/>
  <c r="N18" i="35"/>
  <c r="N19" i="35" s="1"/>
  <c r="D18" i="35"/>
  <c r="C18" i="35"/>
  <c r="E18" i="35" s="1"/>
  <c r="N17" i="35"/>
  <c r="D17" i="35"/>
  <c r="C17" i="35"/>
  <c r="E17" i="35" s="1"/>
  <c r="N16" i="35"/>
  <c r="D16" i="35"/>
  <c r="C16" i="35"/>
  <c r="E16" i="35" s="1"/>
  <c r="N15" i="35"/>
  <c r="D15" i="35"/>
  <c r="C15" i="35"/>
  <c r="E15" i="35" s="1"/>
  <c r="N14" i="35"/>
  <c r="D14" i="35"/>
  <c r="C14" i="35"/>
  <c r="E14" i="35" s="1"/>
  <c r="N13" i="35"/>
  <c r="D13" i="35"/>
  <c r="C13" i="35"/>
  <c r="E13" i="35" s="1"/>
  <c r="N12" i="35"/>
  <c r="D12" i="35"/>
  <c r="C12" i="35"/>
  <c r="E12" i="35" s="1"/>
  <c r="N11" i="35"/>
  <c r="D11" i="35"/>
  <c r="C11" i="35"/>
  <c r="E11" i="35" s="1"/>
  <c r="N10" i="35"/>
  <c r="D10" i="35"/>
  <c r="C10" i="35"/>
  <c r="E10" i="35" s="1"/>
  <c r="N9" i="35"/>
  <c r="D9" i="35"/>
  <c r="C9" i="35"/>
  <c r="E9" i="35" s="1"/>
  <c r="N8" i="35"/>
  <c r="D8" i="35"/>
  <c r="C8" i="35"/>
  <c r="E8" i="35" s="1"/>
  <c r="N7" i="35"/>
  <c r="D7" i="35"/>
  <c r="C7" i="35"/>
  <c r="E7" i="35" s="1"/>
  <c r="N6" i="35"/>
  <c r="D6" i="35"/>
  <c r="C6" i="35"/>
  <c r="E6" i="35" s="1"/>
  <c r="L53" i="34"/>
  <c r="K53" i="34"/>
  <c r="L52" i="34"/>
  <c r="K52" i="34"/>
  <c r="L51" i="34"/>
  <c r="K51" i="34"/>
  <c r="L50" i="34"/>
  <c r="K50" i="34"/>
  <c r="L49" i="34"/>
  <c r="K49" i="34"/>
  <c r="L31" i="34"/>
  <c r="K31" i="34"/>
  <c r="L30" i="34"/>
  <c r="K30" i="34"/>
  <c r="L29" i="34"/>
  <c r="K29" i="34"/>
  <c r="L28" i="34"/>
  <c r="K28" i="34"/>
  <c r="L27" i="34"/>
  <c r="K27" i="34"/>
  <c r="E19" i="35" l="1"/>
  <c r="C29" i="35"/>
  <c r="E29" i="35" s="1"/>
  <c r="C27" i="35"/>
  <c r="C32" i="35"/>
  <c r="E32" i="35" s="1"/>
  <c r="C33" i="35"/>
  <c r="E33" i="35" s="1"/>
  <c r="C49" i="35"/>
  <c r="C19" i="35"/>
  <c r="C30" i="35"/>
  <c r="E30" i="35" s="1"/>
  <c r="C51" i="35"/>
  <c r="E51" i="35" s="1"/>
  <c r="C53" i="35"/>
  <c r="E53" i="35" s="1"/>
  <c r="C50" i="35"/>
  <c r="E50" i="35" s="1"/>
  <c r="C31" i="35"/>
  <c r="E31" i="35" s="1"/>
  <c r="C28" i="35"/>
  <c r="E28" i="35" s="1"/>
  <c r="C60" i="35"/>
  <c r="E60" i="35" s="1"/>
  <c r="C59" i="35"/>
  <c r="E59" i="35" s="1"/>
  <c r="C58" i="35"/>
  <c r="E58" i="35" s="1"/>
  <c r="C57" i="35"/>
  <c r="E57" i="35" s="1"/>
  <c r="C56" i="35"/>
  <c r="E56" i="35" s="1"/>
  <c r="C55" i="35"/>
  <c r="E55" i="35" s="1"/>
  <c r="C52" i="35"/>
  <c r="E52" i="35" s="1"/>
  <c r="C38" i="35"/>
  <c r="E38" i="35" s="1"/>
  <c r="C37" i="35"/>
  <c r="E37" i="35" s="1"/>
  <c r="C36" i="35"/>
  <c r="E36" i="35" s="1"/>
  <c r="C34" i="35"/>
  <c r="E34" i="35" s="1"/>
  <c r="C35" i="35"/>
  <c r="E35" i="35" s="1"/>
  <c r="C63" i="35" l="1"/>
  <c r="E49" i="35"/>
  <c r="E63" i="35" s="1"/>
  <c r="F63" i="35" s="1"/>
  <c r="C41" i="35"/>
  <c r="E27" i="35"/>
  <c r="E41" i="35" s="1"/>
  <c r="F41" i="35" s="1"/>
  <c r="M54" i="35" l="1"/>
  <c r="N54" i="35" s="1"/>
  <c r="P54" i="35" s="1"/>
  <c r="O54" i="35" s="1"/>
  <c r="M52" i="35"/>
  <c r="N52" i="35" s="1"/>
  <c r="P52" i="35" s="1"/>
  <c r="M62" i="35"/>
  <c r="N62" i="35" s="1"/>
  <c r="P62" i="35" s="1"/>
  <c r="O62" i="35" s="1"/>
  <c r="M51" i="35"/>
  <c r="N51" i="35" s="1"/>
  <c r="P51" i="35" s="1"/>
  <c r="M49" i="35"/>
  <c r="N49" i="35" s="1"/>
  <c r="M59" i="35"/>
  <c r="N59" i="35" s="1"/>
  <c r="P59" i="35" s="1"/>
  <c r="O59" i="35" s="1"/>
  <c r="M55" i="35"/>
  <c r="N55" i="35" s="1"/>
  <c r="P55" i="35" s="1"/>
  <c r="O55" i="35" s="1"/>
  <c r="M50" i="35"/>
  <c r="N50" i="35" s="1"/>
  <c r="P50" i="35" s="1"/>
  <c r="O50" i="35" s="1"/>
  <c r="M61" i="35"/>
  <c r="N61" i="35" s="1"/>
  <c r="P61" i="35" s="1"/>
  <c r="O61" i="35" s="1"/>
  <c r="M58" i="35"/>
  <c r="N58" i="35" s="1"/>
  <c r="P58" i="35" s="1"/>
  <c r="O58" i="35" s="1"/>
  <c r="M57" i="35"/>
  <c r="N57" i="35" s="1"/>
  <c r="P57" i="35" s="1"/>
  <c r="O57" i="35" s="1"/>
  <c r="M53" i="35"/>
  <c r="N53" i="35" s="1"/>
  <c r="P53" i="35" s="1"/>
  <c r="M60" i="35"/>
  <c r="N60" i="35" s="1"/>
  <c r="P60" i="35" s="1"/>
  <c r="O60" i="35" s="1"/>
  <c r="M56" i="35"/>
  <c r="N56" i="35" s="1"/>
  <c r="P56" i="35" s="1"/>
  <c r="O56" i="35" s="1"/>
  <c r="M32" i="35"/>
  <c r="N32" i="35" s="1"/>
  <c r="P32" i="35" s="1"/>
  <c r="O32" i="35" s="1"/>
  <c r="M30" i="35"/>
  <c r="N30" i="35" s="1"/>
  <c r="P30" i="35" s="1"/>
  <c r="M40" i="35"/>
  <c r="N40" i="35" s="1"/>
  <c r="P40" i="35" s="1"/>
  <c r="O40" i="35" s="1"/>
  <c r="M39" i="35"/>
  <c r="N39" i="35" s="1"/>
  <c r="P39" i="35" s="1"/>
  <c r="O39" i="35" s="1"/>
  <c r="M36" i="35"/>
  <c r="N36" i="35" s="1"/>
  <c r="P36" i="35" s="1"/>
  <c r="O36" i="35" s="1"/>
  <c r="M34" i="35"/>
  <c r="N34" i="35" s="1"/>
  <c r="P34" i="35" s="1"/>
  <c r="O34" i="35" s="1"/>
  <c r="M37" i="35"/>
  <c r="N37" i="35" s="1"/>
  <c r="P37" i="35" s="1"/>
  <c r="O37" i="35" s="1"/>
  <c r="M28" i="35"/>
  <c r="N28" i="35" s="1"/>
  <c r="P28" i="35" s="1"/>
  <c r="O28" i="35" s="1"/>
  <c r="M35" i="35"/>
  <c r="N35" i="35" s="1"/>
  <c r="P35" i="35" s="1"/>
  <c r="O35" i="35" s="1"/>
  <c r="M31" i="35"/>
  <c r="N31" i="35" s="1"/>
  <c r="P31" i="35" s="1"/>
  <c r="M38" i="35"/>
  <c r="N38" i="35" s="1"/>
  <c r="P38" i="35" s="1"/>
  <c r="O38" i="35" s="1"/>
  <c r="M27" i="35"/>
  <c r="N27" i="35" s="1"/>
  <c r="M33" i="35"/>
  <c r="N33" i="35" s="1"/>
  <c r="P33" i="35" s="1"/>
  <c r="O33" i="35" s="1"/>
  <c r="M29" i="35"/>
  <c r="N29" i="35" s="1"/>
  <c r="P29" i="35" s="1"/>
  <c r="T31" i="35" l="1"/>
  <c r="U31" i="35" s="1"/>
  <c r="O31" i="35"/>
  <c r="O53" i="35"/>
  <c r="T53" i="35"/>
  <c r="U53" i="35" s="1"/>
  <c r="T51" i="35"/>
  <c r="U51" i="35" s="1"/>
  <c r="O51" i="35"/>
  <c r="N41" i="35"/>
  <c r="N42" i="35" s="1"/>
  <c r="P27" i="35"/>
  <c r="T52" i="35"/>
  <c r="U52" i="35" s="1"/>
  <c r="O52" i="35"/>
  <c r="T29" i="35"/>
  <c r="U29" i="35" s="1"/>
  <c r="O29" i="35"/>
  <c r="T30" i="35"/>
  <c r="U30" i="35" s="1"/>
  <c r="O30" i="35"/>
  <c r="N63" i="35"/>
  <c r="N64" i="35" s="1"/>
  <c r="P49" i="35"/>
  <c r="T49" i="35" l="1"/>
  <c r="P63" i="35"/>
  <c r="P64" i="35" s="1"/>
  <c r="O49" i="35"/>
  <c r="O63" i="35" s="1"/>
  <c r="O64" i="35" s="1"/>
  <c r="T27" i="35"/>
  <c r="P41" i="35"/>
  <c r="P42" i="35" s="1"/>
  <c r="O27" i="35"/>
  <c r="O41" i="35" s="1"/>
  <c r="O42" i="35" s="1"/>
  <c r="T32" i="35" l="1"/>
  <c r="U27" i="35"/>
  <c r="V27" i="35" s="1"/>
  <c r="T54" i="35"/>
  <c r="U49" i="35"/>
  <c r="V49" i="35" s="1"/>
  <c r="D62" i="34" l="1"/>
  <c r="D61" i="34"/>
  <c r="B61" i="34"/>
  <c r="C61" i="34" s="1"/>
  <c r="E61" i="34" s="1"/>
  <c r="D60" i="34"/>
  <c r="B60" i="34"/>
  <c r="D59" i="34"/>
  <c r="B59" i="34"/>
  <c r="D58" i="34"/>
  <c r="B58" i="34"/>
  <c r="D57" i="34"/>
  <c r="B57" i="34"/>
  <c r="D56" i="34"/>
  <c r="B56" i="34"/>
  <c r="D55" i="34"/>
  <c r="B55" i="34"/>
  <c r="S54" i="34"/>
  <c r="D54" i="34"/>
  <c r="B54" i="34"/>
  <c r="S53" i="34"/>
  <c r="D53" i="34"/>
  <c r="B53" i="34"/>
  <c r="S52" i="34"/>
  <c r="D52" i="34"/>
  <c r="B52" i="34"/>
  <c r="S51" i="34"/>
  <c r="D51" i="34"/>
  <c r="B51" i="34"/>
  <c r="D50" i="34"/>
  <c r="B50" i="34"/>
  <c r="S49" i="34"/>
  <c r="D49" i="34"/>
  <c r="B49" i="34"/>
  <c r="B63" i="34" s="1"/>
  <c r="D40" i="34"/>
  <c r="D39" i="34"/>
  <c r="C39" i="34"/>
  <c r="E39" i="34" s="1"/>
  <c r="B39" i="34"/>
  <c r="D38" i="34"/>
  <c r="B38" i="34"/>
  <c r="D37" i="34"/>
  <c r="B37" i="34"/>
  <c r="D36" i="34"/>
  <c r="B36" i="34"/>
  <c r="D35" i="34"/>
  <c r="B35" i="34"/>
  <c r="D34" i="34"/>
  <c r="B34" i="34"/>
  <c r="D33" i="34"/>
  <c r="B33" i="34"/>
  <c r="D32" i="34"/>
  <c r="B32" i="34"/>
  <c r="C32" i="34" s="1"/>
  <c r="E32" i="34" s="1"/>
  <c r="S31" i="34"/>
  <c r="D31" i="34"/>
  <c r="B31" i="34"/>
  <c r="S30" i="34"/>
  <c r="D30" i="34"/>
  <c r="B30" i="34"/>
  <c r="S29" i="34"/>
  <c r="D29" i="34"/>
  <c r="B29" i="34"/>
  <c r="C29" i="34" s="1"/>
  <c r="E29" i="34" s="1"/>
  <c r="D28" i="34"/>
  <c r="B28" i="34"/>
  <c r="S27" i="34"/>
  <c r="S32" i="34" s="1"/>
  <c r="D27" i="34"/>
  <c r="B27" i="34"/>
  <c r="B41" i="34" s="1"/>
  <c r="B19" i="34"/>
  <c r="C9" i="34" s="1"/>
  <c r="E9" i="34" s="1"/>
  <c r="D18" i="34"/>
  <c r="E18" i="34" s="1"/>
  <c r="C18" i="34"/>
  <c r="N17" i="34"/>
  <c r="D17" i="34"/>
  <c r="N16" i="34"/>
  <c r="D16" i="34"/>
  <c r="N15" i="34"/>
  <c r="D15" i="34"/>
  <c r="N14" i="34"/>
  <c r="D14" i="34"/>
  <c r="N13" i="34"/>
  <c r="D13" i="34"/>
  <c r="N12" i="34"/>
  <c r="D12" i="34"/>
  <c r="D11" i="34"/>
  <c r="D10" i="34"/>
  <c r="D9" i="34"/>
  <c r="D8" i="34"/>
  <c r="D7" i="34"/>
  <c r="D6" i="34"/>
  <c r="D7" i="15"/>
  <c r="D8" i="15"/>
  <c r="D9" i="15"/>
  <c r="D10" i="15"/>
  <c r="D11" i="15"/>
  <c r="D12" i="15"/>
  <c r="D13" i="15"/>
  <c r="D14" i="15"/>
  <c r="D15" i="15"/>
  <c r="D16" i="15"/>
  <c r="D17" i="15"/>
  <c r="D18" i="15"/>
  <c r="D7" i="18"/>
  <c r="D8" i="18"/>
  <c r="D9" i="18"/>
  <c r="D10" i="18"/>
  <c r="D11" i="18"/>
  <c r="D12" i="18"/>
  <c r="D13" i="18"/>
  <c r="D14" i="18"/>
  <c r="D15" i="18"/>
  <c r="D16" i="18"/>
  <c r="D17" i="18"/>
  <c r="D18" i="18"/>
  <c r="D7" i="17"/>
  <c r="D8" i="17"/>
  <c r="D9" i="17"/>
  <c r="D10" i="17"/>
  <c r="D11" i="17"/>
  <c r="D12" i="17"/>
  <c r="D13" i="17"/>
  <c r="D14" i="17"/>
  <c r="D15" i="17"/>
  <c r="D16" i="17"/>
  <c r="D17" i="17"/>
  <c r="D18" i="17"/>
  <c r="S27" i="33"/>
  <c r="D62" i="33"/>
  <c r="D61" i="33"/>
  <c r="B61" i="33"/>
  <c r="C61" i="33" s="1"/>
  <c r="E61" i="33" s="1"/>
  <c r="D60" i="33"/>
  <c r="B60" i="33"/>
  <c r="D59" i="33"/>
  <c r="B59" i="33"/>
  <c r="D58" i="33"/>
  <c r="B58" i="33"/>
  <c r="D57" i="33"/>
  <c r="B57" i="33"/>
  <c r="D56" i="33"/>
  <c r="B56" i="33"/>
  <c r="D55" i="33"/>
  <c r="B55" i="33"/>
  <c r="D54" i="33"/>
  <c r="B54" i="33"/>
  <c r="L53" i="33"/>
  <c r="K53" i="33"/>
  <c r="D53" i="33"/>
  <c r="B53" i="33"/>
  <c r="L52" i="33"/>
  <c r="K52" i="33"/>
  <c r="D52" i="33"/>
  <c r="B52" i="33"/>
  <c r="L51" i="33"/>
  <c r="K51" i="33"/>
  <c r="D51" i="33"/>
  <c r="B51" i="33"/>
  <c r="L50" i="33"/>
  <c r="K50" i="33"/>
  <c r="D50" i="33"/>
  <c r="B50" i="33"/>
  <c r="L49" i="33"/>
  <c r="K49" i="33"/>
  <c r="D49" i="33"/>
  <c r="B49" i="33"/>
  <c r="D40" i="33"/>
  <c r="D39" i="33"/>
  <c r="B39" i="33"/>
  <c r="C39" i="33" s="1"/>
  <c r="E39" i="33" s="1"/>
  <c r="D38" i="33"/>
  <c r="B38" i="33"/>
  <c r="D37" i="33"/>
  <c r="B37" i="33"/>
  <c r="D36" i="33"/>
  <c r="B36" i="33"/>
  <c r="D35" i="33"/>
  <c r="B35" i="33"/>
  <c r="D34" i="33"/>
  <c r="B34" i="33"/>
  <c r="D33" i="33"/>
  <c r="B33" i="33"/>
  <c r="D32" i="33"/>
  <c r="B32" i="33"/>
  <c r="D31" i="33"/>
  <c r="B31" i="33"/>
  <c r="D30" i="33"/>
  <c r="B30" i="33"/>
  <c r="D29" i="33"/>
  <c r="B29" i="33"/>
  <c r="D28" i="33"/>
  <c r="B28" i="33"/>
  <c r="D27" i="33"/>
  <c r="B27" i="33"/>
  <c r="B19" i="33"/>
  <c r="C17" i="33" s="1"/>
  <c r="E17" i="33" s="1"/>
  <c r="E18" i="33"/>
  <c r="D18" i="33"/>
  <c r="C18" i="33"/>
  <c r="O17" i="33"/>
  <c r="D17" i="33"/>
  <c r="O16" i="33"/>
  <c r="D16" i="33"/>
  <c r="C16" i="33"/>
  <c r="E16" i="33" s="1"/>
  <c r="O15" i="33"/>
  <c r="D15" i="33"/>
  <c r="C15" i="33"/>
  <c r="E15" i="33" s="1"/>
  <c r="O14" i="33"/>
  <c r="D14" i="33"/>
  <c r="O13" i="33"/>
  <c r="D13" i="33"/>
  <c r="C13" i="33"/>
  <c r="D12" i="33"/>
  <c r="O11" i="33"/>
  <c r="D11" i="33"/>
  <c r="C11" i="33"/>
  <c r="E11" i="33" s="1"/>
  <c r="O10" i="33"/>
  <c r="D10" i="33"/>
  <c r="O9" i="33"/>
  <c r="D9" i="33"/>
  <c r="E9" i="33" s="1"/>
  <c r="C9" i="33"/>
  <c r="O8" i="33"/>
  <c r="D8" i="33"/>
  <c r="O7" i="33"/>
  <c r="D7" i="33"/>
  <c r="C7" i="33"/>
  <c r="E7" i="33" s="1"/>
  <c r="O6" i="33"/>
  <c r="D6" i="33"/>
  <c r="C6" i="33"/>
  <c r="E6" i="33" s="1"/>
  <c r="F41" i="30"/>
  <c r="D62" i="30"/>
  <c r="E61" i="30"/>
  <c r="D61" i="30"/>
  <c r="B61" i="30"/>
  <c r="C61" i="30" s="1"/>
  <c r="D60" i="30"/>
  <c r="B60" i="30"/>
  <c r="D59" i="30"/>
  <c r="B59" i="30"/>
  <c r="D58" i="30"/>
  <c r="B58" i="30"/>
  <c r="D57" i="30"/>
  <c r="B57" i="30"/>
  <c r="D56" i="30"/>
  <c r="B56" i="30"/>
  <c r="D55" i="30"/>
  <c r="B55" i="30"/>
  <c r="D54" i="30"/>
  <c r="B54" i="30"/>
  <c r="L53" i="30"/>
  <c r="K53" i="30"/>
  <c r="D53" i="30"/>
  <c r="B53" i="30"/>
  <c r="L52" i="30"/>
  <c r="K52" i="30"/>
  <c r="D52" i="30"/>
  <c r="B52" i="30"/>
  <c r="L51" i="30"/>
  <c r="K51" i="30"/>
  <c r="D51" i="30"/>
  <c r="B51" i="30"/>
  <c r="L50" i="30"/>
  <c r="K50" i="30"/>
  <c r="D50" i="30"/>
  <c r="B50" i="30"/>
  <c r="L49" i="30"/>
  <c r="K49" i="30"/>
  <c r="D49" i="30"/>
  <c r="B49" i="30"/>
  <c r="D40" i="30"/>
  <c r="D39" i="30"/>
  <c r="B39" i="30"/>
  <c r="D38" i="30"/>
  <c r="B38" i="30"/>
  <c r="D37" i="30"/>
  <c r="B37" i="30"/>
  <c r="D36" i="30"/>
  <c r="B36" i="30"/>
  <c r="D35" i="30"/>
  <c r="B35" i="30"/>
  <c r="D34" i="30"/>
  <c r="B34" i="30"/>
  <c r="D33" i="30"/>
  <c r="B33" i="30"/>
  <c r="D32" i="30"/>
  <c r="B32" i="30"/>
  <c r="L31" i="30"/>
  <c r="K31" i="30"/>
  <c r="D31" i="30"/>
  <c r="B31" i="30"/>
  <c r="L30" i="30"/>
  <c r="K30" i="30"/>
  <c r="D30" i="30"/>
  <c r="B30" i="30"/>
  <c r="L29" i="30"/>
  <c r="K29" i="30"/>
  <c r="D29" i="30"/>
  <c r="B29" i="30"/>
  <c r="L28" i="30"/>
  <c r="K28" i="30"/>
  <c r="D28" i="30"/>
  <c r="B28" i="30"/>
  <c r="L27" i="30"/>
  <c r="K27" i="30"/>
  <c r="D27" i="30"/>
  <c r="B27" i="30"/>
  <c r="B19" i="30"/>
  <c r="C12" i="30" s="1"/>
  <c r="E12" i="30" s="1"/>
  <c r="E18" i="30"/>
  <c r="D18" i="30"/>
  <c r="C18" i="30"/>
  <c r="O17" i="30"/>
  <c r="D17" i="30"/>
  <c r="O16" i="30"/>
  <c r="D16" i="30"/>
  <c r="C16" i="30"/>
  <c r="O15" i="30"/>
  <c r="D15" i="30"/>
  <c r="O14" i="30"/>
  <c r="J14" i="30"/>
  <c r="D14" i="30"/>
  <c r="J13" i="30"/>
  <c r="O13" i="30" s="1"/>
  <c r="D13" i="30"/>
  <c r="C13" i="30"/>
  <c r="E13" i="30" s="1"/>
  <c r="O12" i="30"/>
  <c r="J12" i="30"/>
  <c r="D12" i="30"/>
  <c r="J11" i="30"/>
  <c r="D11" i="30"/>
  <c r="O10" i="30"/>
  <c r="J10" i="30"/>
  <c r="D10" i="30"/>
  <c r="J9" i="30"/>
  <c r="O9" i="30" s="1"/>
  <c r="D9" i="30"/>
  <c r="C9" i="30"/>
  <c r="E9" i="30" s="1"/>
  <c r="O8" i="30"/>
  <c r="D8" i="30"/>
  <c r="O7" i="30"/>
  <c r="J7" i="30"/>
  <c r="D7" i="30"/>
  <c r="J6" i="30"/>
  <c r="O6" i="30" s="1"/>
  <c r="D6" i="30"/>
  <c r="C6" i="30"/>
  <c r="F41" i="29"/>
  <c r="S53" i="29"/>
  <c r="S52" i="29"/>
  <c r="S51" i="29"/>
  <c r="S49" i="29"/>
  <c r="S53" i="28"/>
  <c r="S52" i="28"/>
  <c r="S51" i="28"/>
  <c r="S49" i="28"/>
  <c r="D62" i="29"/>
  <c r="E61" i="29"/>
  <c r="D61" i="29"/>
  <c r="C61" i="29"/>
  <c r="B61" i="29"/>
  <c r="D60" i="29"/>
  <c r="B60" i="29"/>
  <c r="D59" i="29"/>
  <c r="B59" i="29"/>
  <c r="D58" i="29"/>
  <c r="B58" i="29"/>
  <c r="D57" i="29"/>
  <c r="B57" i="29"/>
  <c r="D56" i="29"/>
  <c r="B56" i="29"/>
  <c r="D55" i="29"/>
  <c r="B55" i="29"/>
  <c r="D54" i="29"/>
  <c r="B54" i="29"/>
  <c r="L53" i="29"/>
  <c r="K53" i="29"/>
  <c r="D53" i="29"/>
  <c r="B53" i="29"/>
  <c r="L52" i="29"/>
  <c r="K52" i="29"/>
  <c r="D52" i="29"/>
  <c r="B52" i="29"/>
  <c r="L51" i="29"/>
  <c r="K51" i="29"/>
  <c r="D51" i="29"/>
  <c r="B51" i="29"/>
  <c r="L50" i="29"/>
  <c r="K50" i="29"/>
  <c r="D50" i="29"/>
  <c r="B50" i="29"/>
  <c r="L49" i="29"/>
  <c r="K49" i="29"/>
  <c r="D49" i="29"/>
  <c r="B49" i="29"/>
  <c r="D40" i="29"/>
  <c r="E39" i="29"/>
  <c r="D39" i="29"/>
  <c r="C39" i="29"/>
  <c r="B39" i="29"/>
  <c r="D38" i="29"/>
  <c r="B38" i="29"/>
  <c r="D37" i="29"/>
  <c r="B37" i="29"/>
  <c r="D36" i="29"/>
  <c r="B36" i="29"/>
  <c r="D35" i="29"/>
  <c r="B35" i="29"/>
  <c r="D34" i="29"/>
  <c r="B34" i="29"/>
  <c r="D33" i="29"/>
  <c r="B33" i="29"/>
  <c r="D32" i="29"/>
  <c r="B32" i="29"/>
  <c r="L31" i="29"/>
  <c r="K31" i="29"/>
  <c r="D31" i="29"/>
  <c r="B31" i="29"/>
  <c r="L30" i="29"/>
  <c r="K30" i="29"/>
  <c r="D30" i="29"/>
  <c r="B30" i="29"/>
  <c r="L29" i="29"/>
  <c r="K29" i="29"/>
  <c r="D29" i="29"/>
  <c r="B29" i="29"/>
  <c r="L28" i="29"/>
  <c r="K28" i="29"/>
  <c r="D28" i="29"/>
  <c r="B28" i="29"/>
  <c r="L27" i="29"/>
  <c r="K27" i="29"/>
  <c r="D27" i="29"/>
  <c r="B27" i="29"/>
  <c r="B41" i="29" s="1"/>
  <c r="B19" i="29"/>
  <c r="D18" i="29"/>
  <c r="C18" i="29"/>
  <c r="E18" i="29" s="1"/>
  <c r="O17" i="29"/>
  <c r="D17" i="29"/>
  <c r="C17" i="29"/>
  <c r="E17" i="29" s="1"/>
  <c r="O16" i="29"/>
  <c r="D16" i="29"/>
  <c r="C16" i="29"/>
  <c r="O15" i="29"/>
  <c r="D15" i="29"/>
  <c r="C15" i="29"/>
  <c r="E15" i="29" s="1"/>
  <c r="O14" i="29"/>
  <c r="J14" i="29"/>
  <c r="D14" i="29"/>
  <c r="C14" i="29"/>
  <c r="E14" i="29" s="1"/>
  <c r="J13" i="29"/>
  <c r="O13" i="29" s="1"/>
  <c r="P13" i="29" s="1"/>
  <c r="D13" i="29"/>
  <c r="C13" i="29"/>
  <c r="O12" i="29"/>
  <c r="J12" i="29"/>
  <c r="D12" i="29"/>
  <c r="C12" i="29"/>
  <c r="E12" i="29" s="1"/>
  <c r="P11" i="29"/>
  <c r="J11" i="29"/>
  <c r="O11" i="29" s="1"/>
  <c r="D11" i="29"/>
  <c r="C11" i="29"/>
  <c r="E11" i="29" s="1"/>
  <c r="O10" i="29"/>
  <c r="J10" i="29"/>
  <c r="E10" i="29"/>
  <c r="D10" i="29"/>
  <c r="C10" i="29"/>
  <c r="J9" i="29"/>
  <c r="O9" i="29" s="1"/>
  <c r="D9" i="29"/>
  <c r="C9" i="29"/>
  <c r="E9" i="29" s="1"/>
  <c r="O8" i="29"/>
  <c r="E8" i="29"/>
  <c r="D8" i="29"/>
  <c r="C8" i="29"/>
  <c r="O7" i="29"/>
  <c r="P7" i="29" s="1"/>
  <c r="J7" i="29"/>
  <c r="D7" i="29"/>
  <c r="E7" i="29" s="1"/>
  <c r="C7" i="29"/>
  <c r="J6" i="29"/>
  <c r="O6" i="29" s="1"/>
  <c r="D6" i="29"/>
  <c r="C6" i="29"/>
  <c r="O63" i="21"/>
  <c r="O64" i="21" s="1"/>
  <c r="H12" i="2"/>
  <c r="C15" i="34" l="1"/>
  <c r="E15" i="34" s="1"/>
  <c r="C28" i="34"/>
  <c r="E28" i="34" s="1"/>
  <c r="C51" i="34"/>
  <c r="E51" i="34" s="1"/>
  <c r="C16" i="34"/>
  <c r="E16" i="34" s="1"/>
  <c r="C14" i="34"/>
  <c r="E14" i="34" s="1"/>
  <c r="C12" i="34"/>
  <c r="E12" i="34" s="1"/>
  <c r="C11" i="34"/>
  <c r="E11" i="34" s="1"/>
  <c r="C10" i="34"/>
  <c r="E10" i="34" s="1"/>
  <c r="C6" i="34"/>
  <c r="C7" i="34"/>
  <c r="E7" i="34" s="1"/>
  <c r="C17" i="34"/>
  <c r="E17" i="34" s="1"/>
  <c r="C49" i="34"/>
  <c r="C53" i="34"/>
  <c r="E53" i="34" s="1"/>
  <c r="C50" i="34"/>
  <c r="E50" i="34" s="1"/>
  <c r="C31" i="34"/>
  <c r="E31" i="34" s="1"/>
  <c r="C60" i="34"/>
  <c r="E60" i="34" s="1"/>
  <c r="C59" i="34"/>
  <c r="E59" i="34" s="1"/>
  <c r="C58" i="34"/>
  <c r="E58" i="34" s="1"/>
  <c r="C57" i="34"/>
  <c r="E57" i="34" s="1"/>
  <c r="C56" i="34"/>
  <c r="E56" i="34" s="1"/>
  <c r="C55" i="34"/>
  <c r="E55" i="34" s="1"/>
  <c r="C52" i="34"/>
  <c r="E52" i="34" s="1"/>
  <c r="C38" i="34"/>
  <c r="E38" i="34" s="1"/>
  <c r="C37" i="34"/>
  <c r="E37" i="34" s="1"/>
  <c r="C36" i="34"/>
  <c r="E36" i="34" s="1"/>
  <c r="C35" i="34"/>
  <c r="E35" i="34" s="1"/>
  <c r="C34" i="34"/>
  <c r="E34" i="34" s="1"/>
  <c r="C33" i="34"/>
  <c r="E33" i="34" s="1"/>
  <c r="C30" i="34"/>
  <c r="E30" i="34" s="1"/>
  <c r="C54" i="34"/>
  <c r="E54" i="34" s="1"/>
  <c r="C8" i="34"/>
  <c r="E8" i="34" s="1"/>
  <c r="C13" i="34"/>
  <c r="E13" i="34" s="1"/>
  <c r="C27" i="34"/>
  <c r="E13" i="33"/>
  <c r="B41" i="33"/>
  <c r="C36" i="33" s="1"/>
  <c r="E36" i="33" s="1"/>
  <c r="B63" i="33"/>
  <c r="O12" i="33"/>
  <c r="P12" i="33" s="1"/>
  <c r="C27" i="33"/>
  <c r="C34" i="33"/>
  <c r="E34" i="33" s="1"/>
  <c r="P13" i="33"/>
  <c r="C38" i="33"/>
  <c r="E38" i="33" s="1"/>
  <c r="P17" i="33"/>
  <c r="C35" i="33"/>
  <c r="E35" i="33" s="1"/>
  <c r="C54" i="33"/>
  <c r="E54" i="33" s="1"/>
  <c r="C52" i="33"/>
  <c r="E52" i="33" s="1"/>
  <c r="C8" i="33"/>
  <c r="E8" i="33" s="1"/>
  <c r="C12" i="33"/>
  <c r="E12" i="33" s="1"/>
  <c r="C28" i="33"/>
  <c r="E28" i="33" s="1"/>
  <c r="C53" i="33"/>
  <c r="E53" i="33" s="1"/>
  <c r="C56" i="33"/>
  <c r="E56" i="33" s="1"/>
  <c r="C60" i="33"/>
  <c r="E60" i="33" s="1"/>
  <c r="C31" i="33"/>
  <c r="E31" i="33" s="1"/>
  <c r="C32" i="33"/>
  <c r="E32" i="33" s="1"/>
  <c r="C33" i="33"/>
  <c r="E33" i="33" s="1"/>
  <c r="C51" i="33"/>
  <c r="E51" i="33" s="1"/>
  <c r="C57" i="33"/>
  <c r="E57" i="33" s="1"/>
  <c r="C14" i="33"/>
  <c r="E14" i="33" s="1"/>
  <c r="C10" i="33"/>
  <c r="E10" i="33" s="1"/>
  <c r="C49" i="33"/>
  <c r="C58" i="33"/>
  <c r="E58" i="33" s="1"/>
  <c r="P8" i="30"/>
  <c r="E6" i="30"/>
  <c r="P7" i="30"/>
  <c r="P9" i="30"/>
  <c r="P15" i="30"/>
  <c r="O11" i="30"/>
  <c r="P11" i="30" s="1"/>
  <c r="C8" i="30"/>
  <c r="E8" i="30" s="1"/>
  <c r="C11" i="30"/>
  <c r="E11" i="30" s="1"/>
  <c r="C14" i="30"/>
  <c r="E14" i="30" s="1"/>
  <c r="C51" i="30"/>
  <c r="E51" i="30" s="1"/>
  <c r="C55" i="30"/>
  <c r="E55" i="30" s="1"/>
  <c r="C56" i="30"/>
  <c r="E56" i="30" s="1"/>
  <c r="C58" i="30"/>
  <c r="E58" i="30" s="1"/>
  <c r="C59" i="30"/>
  <c r="E59" i="30" s="1"/>
  <c r="C60" i="30"/>
  <c r="E60" i="30" s="1"/>
  <c r="B41" i="30"/>
  <c r="C27" i="30"/>
  <c r="C7" i="30"/>
  <c r="E7" i="30" s="1"/>
  <c r="C10" i="30"/>
  <c r="E10" i="30" s="1"/>
  <c r="B63" i="30"/>
  <c r="C49" i="30"/>
  <c r="P14" i="30"/>
  <c r="E16" i="30"/>
  <c r="P16" i="30"/>
  <c r="C17" i="30"/>
  <c r="E17" i="30" s="1"/>
  <c r="C15" i="30"/>
  <c r="E15" i="30" s="1"/>
  <c r="C29" i="30"/>
  <c r="E29" i="30" s="1"/>
  <c r="C33" i="30"/>
  <c r="E33" i="30" s="1"/>
  <c r="C34" i="30"/>
  <c r="E34" i="30" s="1"/>
  <c r="C35" i="30"/>
  <c r="E35" i="30" s="1"/>
  <c r="C36" i="30"/>
  <c r="E36" i="30" s="1"/>
  <c r="C37" i="30"/>
  <c r="E37" i="30" s="1"/>
  <c r="C38" i="30"/>
  <c r="E38" i="30" s="1"/>
  <c r="C53" i="30"/>
  <c r="E53" i="30" s="1"/>
  <c r="C52" i="30"/>
  <c r="E52" i="30" s="1"/>
  <c r="C39" i="30"/>
  <c r="E39" i="30" s="1"/>
  <c r="C28" i="30"/>
  <c r="E28" i="30" s="1"/>
  <c r="C31" i="30"/>
  <c r="E31" i="30" s="1"/>
  <c r="C50" i="30"/>
  <c r="E50" i="30" s="1"/>
  <c r="C53" i="29"/>
  <c r="E53" i="29" s="1"/>
  <c r="C31" i="29"/>
  <c r="E31" i="29" s="1"/>
  <c r="C28" i="29"/>
  <c r="E28" i="29" s="1"/>
  <c r="C60" i="29"/>
  <c r="E60" i="29" s="1"/>
  <c r="C59" i="29"/>
  <c r="E59" i="29" s="1"/>
  <c r="C58" i="29"/>
  <c r="E58" i="29" s="1"/>
  <c r="C57" i="29"/>
  <c r="E57" i="29" s="1"/>
  <c r="C56" i="29"/>
  <c r="E56" i="29" s="1"/>
  <c r="C55" i="29"/>
  <c r="E55" i="29" s="1"/>
  <c r="C52" i="29"/>
  <c r="E52" i="29" s="1"/>
  <c r="C38" i="29"/>
  <c r="E38" i="29" s="1"/>
  <c r="C37" i="29"/>
  <c r="E37" i="29" s="1"/>
  <c r="C36" i="29"/>
  <c r="E36" i="29" s="1"/>
  <c r="C35" i="29"/>
  <c r="E35" i="29" s="1"/>
  <c r="C34" i="29"/>
  <c r="E34" i="29" s="1"/>
  <c r="C33" i="29"/>
  <c r="E33" i="29" s="1"/>
  <c r="C30" i="29"/>
  <c r="E30" i="29" s="1"/>
  <c r="C32" i="29"/>
  <c r="E32" i="29" s="1"/>
  <c r="C27" i="29"/>
  <c r="C54" i="29"/>
  <c r="E54" i="29" s="1"/>
  <c r="P6" i="29"/>
  <c r="P9" i="29"/>
  <c r="P8" i="29"/>
  <c r="P15" i="29"/>
  <c r="P16" i="29"/>
  <c r="C19" i="29"/>
  <c r="E6" i="29"/>
  <c r="E19" i="29" s="1"/>
  <c r="C51" i="29"/>
  <c r="E51" i="29" s="1"/>
  <c r="C29" i="29"/>
  <c r="E29" i="29" s="1"/>
  <c r="B63" i="29"/>
  <c r="C49" i="29"/>
  <c r="P12" i="29"/>
  <c r="E16" i="29"/>
  <c r="P17" i="29"/>
  <c r="P14" i="29"/>
  <c r="P10" i="29"/>
  <c r="E13" i="29"/>
  <c r="C50" i="29"/>
  <c r="E50" i="29" s="1"/>
  <c r="J15" i="17"/>
  <c r="J14" i="17"/>
  <c r="J13" i="17"/>
  <c r="J12" i="17"/>
  <c r="J9" i="17"/>
  <c r="J49" i="14"/>
  <c r="J29" i="21"/>
  <c r="J27" i="28"/>
  <c r="H11" i="2"/>
  <c r="C7" i="2"/>
  <c r="H7" i="2" s="1"/>
  <c r="B50" i="28"/>
  <c r="B51" i="28"/>
  <c r="B52" i="28"/>
  <c r="B53" i="28"/>
  <c r="B54" i="28"/>
  <c r="B55" i="28"/>
  <c r="B56" i="28"/>
  <c r="B57" i="28"/>
  <c r="B58" i="28"/>
  <c r="B59" i="28"/>
  <c r="B60" i="28"/>
  <c r="B61" i="28"/>
  <c r="C61" i="28" s="1"/>
  <c r="B50" i="11"/>
  <c r="B51" i="11"/>
  <c r="B52" i="11"/>
  <c r="B53" i="11"/>
  <c r="B54" i="11"/>
  <c r="B55" i="11"/>
  <c r="B56" i="11"/>
  <c r="B57" i="11"/>
  <c r="B58" i="11"/>
  <c r="B59" i="11"/>
  <c r="B60" i="11"/>
  <c r="B61" i="11"/>
  <c r="B50" i="20"/>
  <c r="B51" i="20"/>
  <c r="B52" i="20"/>
  <c r="B53" i="20"/>
  <c r="B54" i="20"/>
  <c r="B55" i="20"/>
  <c r="B56" i="20"/>
  <c r="B57" i="20"/>
  <c r="B58" i="20"/>
  <c r="B59" i="20"/>
  <c r="B60" i="20"/>
  <c r="B61" i="20"/>
  <c r="C61" i="20" s="1"/>
  <c r="B50" i="21"/>
  <c r="B51" i="21"/>
  <c r="B52" i="21"/>
  <c r="B53" i="21"/>
  <c r="B54" i="21"/>
  <c r="B55" i="21"/>
  <c r="B56" i="21"/>
  <c r="B57" i="21"/>
  <c r="B58" i="21"/>
  <c r="B59" i="21"/>
  <c r="B60" i="21"/>
  <c r="B61" i="21"/>
  <c r="C61" i="21" s="1"/>
  <c r="B50" i="15"/>
  <c r="B51" i="15"/>
  <c r="B52" i="15"/>
  <c r="B53" i="15"/>
  <c r="B54" i="15"/>
  <c r="B55" i="15"/>
  <c r="B56" i="15"/>
  <c r="B57" i="15"/>
  <c r="B58" i="15"/>
  <c r="B59" i="15"/>
  <c r="B60" i="15"/>
  <c r="B61" i="15"/>
  <c r="B50" i="14"/>
  <c r="B51" i="14"/>
  <c r="B52" i="14"/>
  <c r="B53" i="14"/>
  <c r="B54" i="14"/>
  <c r="B55" i="14"/>
  <c r="B56" i="14"/>
  <c r="B57" i="14"/>
  <c r="B58" i="14"/>
  <c r="B59" i="14"/>
  <c r="B60" i="14"/>
  <c r="B61" i="14"/>
  <c r="B50" i="17"/>
  <c r="B51" i="17"/>
  <c r="B52" i="17"/>
  <c r="B53" i="17"/>
  <c r="B54" i="17"/>
  <c r="B55" i="17"/>
  <c r="B56" i="17"/>
  <c r="B57" i="17"/>
  <c r="B58" i="17"/>
  <c r="B59" i="17"/>
  <c r="B60" i="17"/>
  <c r="B61" i="17"/>
  <c r="B50" i="18"/>
  <c r="B51" i="18"/>
  <c r="B52" i="18"/>
  <c r="B53" i="18"/>
  <c r="B54" i="18"/>
  <c r="B55" i="18"/>
  <c r="B56" i="18"/>
  <c r="B57" i="18"/>
  <c r="B58" i="18"/>
  <c r="B59" i="18"/>
  <c r="B60" i="18"/>
  <c r="B61" i="18"/>
  <c r="B50" i="10"/>
  <c r="B51" i="10"/>
  <c r="B52" i="10"/>
  <c r="B53" i="10"/>
  <c r="B54" i="10"/>
  <c r="B55" i="10"/>
  <c r="B56" i="10"/>
  <c r="B57" i="10"/>
  <c r="B58" i="10"/>
  <c r="B59" i="10"/>
  <c r="B60" i="10"/>
  <c r="B61" i="10"/>
  <c r="B49" i="28"/>
  <c r="B49" i="11"/>
  <c r="B49" i="20"/>
  <c r="B49" i="21"/>
  <c r="B49" i="15"/>
  <c r="B49" i="14"/>
  <c r="B49" i="17"/>
  <c r="B49" i="18"/>
  <c r="B49" i="10"/>
  <c r="B28" i="28"/>
  <c r="B29" i="28"/>
  <c r="B30" i="28"/>
  <c r="B31" i="28"/>
  <c r="B32" i="28"/>
  <c r="B33" i="28"/>
  <c r="B34" i="28"/>
  <c r="B35" i="28"/>
  <c r="B36" i="28"/>
  <c r="B37" i="28"/>
  <c r="B38" i="28"/>
  <c r="B39" i="28"/>
  <c r="B28" i="11"/>
  <c r="B29" i="11"/>
  <c r="B30" i="11"/>
  <c r="B31" i="11"/>
  <c r="B32" i="11"/>
  <c r="B33" i="11"/>
  <c r="B34" i="11"/>
  <c r="B35" i="11"/>
  <c r="B36" i="11"/>
  <c r="B37" i="11"/>
  <c r="B38" i="11"/>
  <c r="B39" i="11"/>
  <c r="B28" i="20"/>
  <c r="B29" i="20"/>
  <c r="B30" i="20"/>
  <c r="B31" i="20"/>
  <c r="B32" i="20"/>
  <c r="B33" i="20"/>
  <c r="B34" i="20"/>
  <c r="B35" i="20"/>
  <c r="B36" i="20"/>
  <c r="B37" i="20"/>
  <c r="B38" i="20"/>
  <c r="B39" i="20"/>
  <c r="C39" i="20" s="1"/>
  <c r="B28" i="21"/>
  <c r="B29" i="21"/>
  <c r="B30" i="21"/>
  <c r="B31" i="21"/>
  <c r="B32" i="21"/>
  <c r="B33" i="21"/>
  <c r="B34" i="21"/>
  <c r="B35" i="21"/>
  <c r="B36" i="21"/>
  <c r="B37" i="21"/>
  <c r="B38" i="21"/>
  <c r="B39" i="21"/>
  <c r="B28" i="15"/>
  <c r="B29" i="15"/>
  <c r="B30" i="15"/>
  <c r="B31" i="15"/>
  <c r="B32" i="15"/>
  <c r="B33" i="15"/>
  <c r="B34" i="15"/>
  <c r="B35" i="15"/>
  <c r="B36" i="15"/>
  <c r="B37" i="15"/>
  <c r="B38" i="15"/>
  <c r="B39" i="15"/>
  <c r="B28" i="14"/>
  <c r="B29" i="14"/>
  <c r="B30" i="14"/>
  <c r="B31" i="14"/>
  <c r="B32" i="14"/>
  <c r="B33" i="14"/>
  <c r="B34" i="14"/>
  <c r="B35" i="14"/>
  <c r="B36" i="14"/>
  <c r="B37" i="14"/>
  <c r="B38" i="14"/>
  <c r="B39" i="14"/>
  <c r="B28" i="17"/>
  <c r="B29" i="17"/>
  <c r="B30" i="17"/>
  <c r="B31" i="17"/>
  <c r="B32" i="17"/>
  <c r="B33" i="17"/>
  <c r="B34" i="17"/>
  <c r="B35" i="17"/>
  <c r="B36" i="17"/>
  <c r="B37" i="17"/>
  <c r="B38" i="17"/>
  <c r="B39" i="17"/>
  <c r="B28" i="18"/>
  <c r="B29" i="18"/>
  <c r="B30" i="18"/>
  <c r="B31" i="18"/>
  <c r="B32" i="18"/>
  <c r="B33" i="18"/>
  <c r="B34" i="18"/>
  <c r="B35" i="18"/>
  <c r="B36" i="18"/>
  <c r="B37" i="18"/>
  <c r="B38" i="18"/>
  <c r="B39" i="18"/>
  <c r="B28" i="10"/>
  <c r="B29" i="10"/>
  <c r="B30" i="10"/>
  <c r="B31" i="10"/>
  <c r="B32" i="10"/>
  <c r="B33" i="10"/>
  <c r="B34" i="10"/>
  <c r="B35" i="10"/>
  <c r="B36" i="10"/>
  <c r="B37" i="10"/>
  <c r="B38" i="10"/>
  <c r="B39" i="10"/>
  <c r="B27" i="28"/>
  <c r="B27" i="11"/>
  <c r="B27" i="20"/>
  <c r="B27" i="21"/>
  <c r="B27" i="15"/>
  <c r="B27" i="14"/>
  <c r="B27" i="17"/>
  <c r="B27" i="18"/>
  <c r="B27" i="10"/>
  <c r="K50" i="28"/>
  <c r="L50" i="28"/>
  <c r="K51" i="28"/>
  <c r="L51" i="28"/>
  <c r="K52" i="28"/>
  <c r="L52" i="28"/>
  <c r="K53" i="28"/>
  <c r="L53" i="28"/>
  <c r="K50" i="11"/>
  <c r="L50" i="11"/>
  <c r="K51" i="11"/>
  <c r="L51" i="11"/>
  <c r="K52" i="11"/>
  <c r="L52" i="11"/>
  <c r="K53" i="11"/>
  <c r="L53" i="11"/>
  <c r="K50" i="20"/>
  <c r="L50" i="20"/>
  <c r="K51" i="20"/>
  <c r="L51" i="20"/>
  <c r="K52" i="20"/>
  <c r="L52" i="20"/>
  <c r="K53" i="20"/>
  <c r="L53" i="20"/>
  <c r="K50" i="21"/>
  <c r="L50" i="21"/>
  <c r="K51" i="21"/>
  <c r="L51" i="21"/>
  <c r="K52" i="21"/>
  <c r="L52" i="21"/>
  <c r="K53" i="21"/>
  <c r="L53" i="21"/>
  <c r="K50" i="15"/>
  <c r="L50" i="15"/>
  <c r="K51" i="15"/>
  <c r="L51" i="15"/>
  <c r="K52" i="15"/>
  <c r="L52" i="15"/>
  <c r="K53" i="15"/>
  <c r="L53" i="15"/>
  <c r="K50" i="14"/>
  <c r="L50" i="14"/>
  <c r="K51" i="14"/>
  <c r="L51" i="14"/>
  <c r="K52" i="14"/>
  <c r="L52" i="14"/>
  <c r="K53" i="14"/>
  <c r="L53" i="14"/>
  <c r="K50" i="17"/>
  <c r="L50" i="17"/>
  <c r="K51" i="17"/>
  <c r="L51" i="17"/>
  <c r="K52" i="17"/>
  <c r="L52" i="17"/>
  <c r="K53" i="17"/>
  <c r="L53" i="17"/>
  <c r="K50" i="18"/>
  <c r="L50" i="18"/>
  <c r="K51" i="18"/>
  <c r="L51" i="18"/>
  <c r="K52" i="18"/>
  <c r="L52" i="18"/>
  <c r="K53" i="18"/>
  <c r="L53" i="18"/>
  <c r="K50" i="10"/>
  <c r="L50" i="10"/>
  <c r="K51" i="10"/>
  <c r="L51" i="10"/>
  <c r="K52" i="10"/>
  <c r="L52" i="10"/>
  <c r="K53" i="10"/>
  <c r="L53" i="10"/>
  <c r="L49" i="28"/>
  <c r="L49" i="11"/>
  <c r="L49" i="20"/>
  <c r="L49" i="21"/>
  <c r="L49" i="15"/>
  <c r="L49" i="14"/>
  <c r="L49" i="17"/>
  <c r="L49" i="18"/>
  <c r="L49" i="10"/>
  <c r="K49" i="28"/>
  <c r="K49" i="11"/>
  <c r="K49" i="20"/>
  <c r="K49" i="21"/>
  <c r="K49" i="15"/>
  <c r="K49" i="14"/>
  <c r="K49" i="17"/>
  <c r="K49" i="18"/>
  <c r="K49" i="10"/>
  <c r="L27" i="28"/>
  <c r="L28" i="28"/>
  <c r="L29" i="28"/>
  <c r="L30" i="28"/>
  <c r="L31" i="28"/>
  <c r="L27" i="11"/>
  <c r="L28" i="11"/>
  <c r="L29" i="11"/>
  <c r="L30" i="11"/>
  <c r="L31" i="11"/>
  <c r="L27" i="20"/>
  <c r="L28" i="20"/>
  <c r="L29" i="20"/>
  <c r="L30" i="20"/>
  <c r="L31" i="20"/>
  <c r="L27" i="21"/>
  <c r="L28" i="21"/>
  <c r="L29" i="21"/>
  <c r="L30" i="21"/>
  <c r="L31" i="21"/>
  <c r="L27" i="15"/>
  <c r="L28" i="15"/>
  <c r="L29" i="15"/>
  <c r="L30" i="15"/>
  <c r="L31" i="15"/>
  <c r="L27" i="14"/>
  <c r="L28" i="14"/>
  <c r="L29" i="14"/>
  <c r="L30" i="14"/>
  <c r="L31" i="14"/>
  <c r="L27" i="17"/>
  <c r="L28" i="17"/>
  <c r="L29" i="17"/>
  <c r="L30" i="17"/>
  <c r="L31" i="17"/>
  <c r="L27" i="18"/>
  <c r="L28" i="18"/>
  <c r="L29" i="18"/>
  <c r="L30" i="18"/>
  <c r="L31" i="18"/>
  <c r="L27" i="10"/>
  <c r="L28" i="10"/>
  <c r="L29" i="10"/>
  <c r="L30" i="10"/>
  <c r="L31" i="10"/>
  <c r="K28" i="28"/>
  <c r="K29" i="28"/>
  <c r="K30" i="28"/>
  <c r="K31" i="28"/>
  <c r="K28" i="11"/>
  <c r="K29" i="11"/>
  <c r="K30" i="11"/>
  <c r="K31" i="11"/>
  <c r="K28" i="20"/>
  <c r="K29" i="20"/>
  <c r="K30" i="20"/>
  <c r="K31" i="20"/>
  <c r="K28" i="21"/>
  <c r="K29" i="21"/>
  <c r="K30" i="21"/>
  <c r="K31" i="21"/>
  <c r="K28" i="15"/>
  <c r="K29" i="15"/>
  <c r="K30" i="15"/>
  <c r="K31" i="15"/>
  <c r="K28" i="14"/>
  <c r="K29" i="14"/>
  <c r="K30" i="14"/>
  <c r="K31" i="14"/>
  <c r="K28" i="17"/>
  <c r="K29" i="17"/>
  <c r="K30" i="17"/>
  <c r="K31" i="17"/>
  <c r="K28" i="18"/>
  <c r="K29" i="18"/>
  <c r="K30" i="18"/>
  <c r="K31" i="18"/>
  <c r="K28" i="10"/>
  <c r="K29" i="10"/>
  <c r="K30" i="10"/>
  <c r="K31" i="10"/>
  <c r="K27" i="28"/>
  <c r="K27" i="11"/>
  <c r="K27" i="20"/>
  <c r="K27" i="21"/>
  <c r="K27" i="15"/>
  <c r="K27" i="14"/>
  <c r="K27" i="17"/>
  <c r="K27" i="18"/>
  <c r="K27" i="10"/>
  <c r="O8" i="28"/>
  <c r="O14" i="28"/>
  <c r="O15" i="28"/>
  <c r="O16" i="28"/>
  <c r="O17" i="28"/>
  <c r="O6" i="28"/>
  <c r="J14" i="28"/>
  <c r="J13" i="28"/>
  <c r="O13" i="28" s="1"/>
  <c r="J12" i="28"/>
  <c r="O12" i="28" s="1"/>
  <c r="J11" i="28"/>
  <c r="O11" i="28" s="1"/>
  <c r="P11" i="28" s="1"/>
  <c r="J10" i="28"/>
  <c r="O10" i="28" s="1"/>
  <c r="J9" i="28"/>
  <c r="O9" i="28" s="1"/>
  <c r="J7" i="28"/>
  <c r="O7" i="28" s="1"/>
  <c r="P7" i="28" s="1"/>
  <c r="J6" i="28"/>
  <c r="D62" i="28"/>
  <c r="D61" i="28"/>
  <c r="D60" i="28"/>
  <c r="D59" i="28"/>
  <c r="D58" i="28"/>
  <c r="D57" i="28"/>
  <c r="D56" i="28"/>
  <c r="D55" i="28"/>
  <c r="D54" i="28"/>
  <c r="D53" i="28"/>
  <c r="D52" i="28"/>
  <c r="D51" i="28"/>
  <c r="D50" i="28"/>
  <c r="D49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B19" i="28"/>
  <c r="C14" i="28" s="1"/>
  <c r="D18" i="28"/>
  <c r="E18" i="28" s="1"/>
  <c r="C18" i="28"/>
  <c r="D17" i="28"/>
  <c r="C17" i="28"/>
  <c r="D16" i="28"/>
  <c r="C16" i="28"/>
  <c r="D15" i="28"/>
  <c r="C15" i="28"/>
  <c r="D14" i="28"/>
  <c r="D13" i="28"/>
  <c r="C13" i="28"/>
  <c r="D12" i="28"/>
  <c r="C12" i="28"/>
  <c r="D11" i="28"/>
  <c r="C11" i="28"/>
  <c r="E11" i="28" s="1"/>
  <c r="D10" i="28"/>
  <c r="D9" i="28"/>
  <c r="C9" i="28"/>
  <c r="D8" i="28"/>
  <c r="C8" i="28"/>
  <c r="D7" i="28"/>
  <c r="C7" i="28"/>
  <c r="D6" i="28"/>
  <c r="J11" i="21"/>
  <c r="J10" i="21"/>
  <c r="J9" i="21"/>
  <c r="J8" i="21"/>
  <c r="J12" i="20"/>
  <c r="J11" i="20"/>
  <c r="J10" i="20"/>
  <c r="J9" i="20"/>
  <c r="J8" i="20"/>
  <c r="J9" i="11"/>
  <c r="J8" i="11"/>
  <c r="J11" i="14"/>
  <c r="J9" i="14"/>
  <c r="J11" i="15"/>
  <c r="J10" i="15"/>
  <c r="H3" i="16"/>
  <c r="H4" i="2"/>
  <c r="H5" i="2"/>
  <c r="H6" i="2"/>
  <c r="H8" i="2"/>
  <c r="H9" i="2"/>
  <c r="H10" i="2"/>
  <c r="H13" i="2"/>
  <c r="H14" i="2"/>
  <c r="H15" i="2"/>
  <c r="H16" i="2"/>
  <c r="H17" i="2"/>
  <c r="D62" i="21"/>
  <c r="D61" i="21"/>
  <c r="D60" i="21"/>
  <c r="D59" i="21"/>
  <c r="D58" i="21"/>
  <c r="D57" i="21"/>
  <c r="D56" i="21"/>
  <c r="D55" i="21"/>
  <c r="D54" i="21"/>
  <c r="D53" i="21"/>
  <c r="D52" i="21"/>
  <c r="D51" i="21"/>
  <c r="D50" i="21"/>
  <c r="D49" i="21"/>
  <c r="D40" i="21"/>
  <c r="D39" i="21"/>
  <c r="D38" i="21"/>
  <c r="D37" i="21"/>
  <c r="D36" i="21"/>
  <c r="D35" i="21"/>
  <c r="D34" i="21"/>
  <c r="D33" i="21"/>
  <c r="D32" i="21"/>
  <c r="D31" i="21"/>
  <c r="D30" i="21"/>
  <c r="D29" i="21"/>
  <c r="D28" i="21"/>
  <c r="J27" i="21"/>
  <c r="D27" i="21"/>
  <c r="B19" i="21"/>
  <c r="C16" i="21" s="1"/>
  <c r="D18" i="21"/>
  <c r="C18" i="21"/>
  <c r="D17" i="21"/>
  <c r="D16" i="21"/>
  <c r="D15" i="21"/>
  <c r="D14" i="21"/>
  <c r="C14" i="21"/>
  <c r="D13" i="21"/>
  <c r="D12" i="21"/>
  <c r="D11" i="21"/>
  <c r="D10" i="21"/>
  <c r="C10" i="21"/>
  <c r="D9" i="21"/>
  <c r="D8" i="21"/>
  <c r="C8" i="21"/>
  <c r="D7" i="21"/>
  <c r="D6" i="21"/>
  <c r="C6" i="21"/>
  <c r="D62" i="20"/>
  <c r="D61" i="20"/>
  <c r="D60" i="20"/>
  <c r="D59" i="20"/>
  <c r="D58" i="20"/>
  <c r="D57" i="20"/>
  <c r="D56" i="20"/>
  <c r="D55" i="20"/>
  <c r="D54" i="20"/>
  <c r="D53" i="20"/>
  <c r="D52" i="20"/>
  <c r="D51" i="20"/>
  <c r="D50" i="20"/>
  <c r="D49" i="20"/>
  <c r="D40" i="20"/>
  <c r="D39" i="20"/>
  <c r="D38" i="20"/>
  <c r="D37" i="20"/>
  <c r="D36" i="20"/>
  <c r="D35" i="20"/>
  <c r="D34" i="20"/>
  <c r="D33" i="20"/>
  <c r="D32" i="20"/>
  <c r="D31" i="20"/>
  <c r="D30" i="20"/>
  <c r="D29" i="20"/>
  <c r="D28" i="20"/>
  <c r="D27" i="20"/>
  <c r="B19" i="20"/>
  <c r="C6" i="20" s="1"/>
  <c r="D18" i="20"/>
  <c r="C18" i="20"/>
  <c r="D17" i="20"/>
  <c r="D16" i="20"/>
  <c r="D15" i="20"/>
  <c r="D14" i="20"/>
  <c r="D13" i="20"/>
  <c r="D12" i="20"/>
  <c r="D11" i="20"/>
  <c r="D10" i="20"/>
  <c r="D9" i="20"/>
  <c r="D8" i="20"/>
  <c r="D7" i="20"/>
  <c r="D6" i="20"/>
  <c r="C63" i="34" l="1"/>
  <c r="E49" i="34"/>
  <c r="E63" i="34" s="1"/>
  <c r="F63" i="34" s="1"/>
  <c r="E6" i="34"/>
  <c r="E19" i="34" s="1"/>
  <c r="C19" i="34"/>
  <c r="C41" i="34"/>
  <c r="E27" i="34"/>
  <c r="E41" i="34" s="1"/>
  <c r="F41" i="34" s="1"/>
  <c r="E19" i="33"/>
  <c r="C37" i="33"/>
  <c r="E37" i="33" s="1"/>
  <c r="C29" i="33"/>
  <c r="E29" i="33" s="1"/>
  <c r="C50" i="33"/>
  <c r="E50" i="33" s="1"/>
  <c r="C55" i="33"/>
  <c r="E55" i="33" s="1"/>
  <c r="C59" i="33"/>
  <c r="E59" i="33" s="1"/>
  <c r="C30" i="33"/>
  <c r="E30" i="33" s="1"/>
  <c r="P7" i="33"/>
  <c r="P11" i="33"/>
  <c r="P8" i="33"/>
  <c r="P10" i="33"/>
  <c r="P15" i="33"/>
  <c r="P6" i="33"/>
  <c r="M16" i="33"/>
  <c r="N16" i="33" s="1"/>
  <c r="M14" i="33"/>
  <c r="N14" i="33" s="1"/>
  <c r="M10" i="33"/>
  <c r="N10" i="33" s="1"/>
  <c r="M15" i="33"/>
  <c r="N15" i="33" s="1"/>
  <c r="M13" i="33"/>
  <c r="N13" i="33" s="1"/>
  <c r="M9" i="33"/>
  <c r="N9" i="33" s="1"/>
  <c r="M8" i="33"/>
  <c r="N8" i="33" s="1"/>
  <c r="M11" i="33"/>
  <c r="N11" i="33" s="1"/>
  <c r="M6" i="33"/>
  <c r="N6" i="33" s="1"/>
  <c r="M17" i="33"/>
  <c r="N17" i="33" s="1"/>
  <c r="M12" i="33"/>
  <c r="N12" i="33" s="1"/>
  <c r="M7" i="33"/>
  <c r="N7" i="33" s="1"/>
  <c r="E27" i="33"/>
  <c r="C41" i="33"/>
  <c r="S31" i="33"/>
  <c r="S53" i="33"/>
  <c r="P9" i="33"/>
  <c r="P14" i="33"/>
  <c r="P16" i="33"/>
  <c r="C19" i="33"/>
  <c r="S49" i="33"/>
  <c r="E49" i="33"/>
  <c r="S29" i="33"/>
  <c r="C19" i="30"/>
  <c r="E27" i="30"/>
  <c r="P6" i="30"/>
  <c r="P10" i="30"/>
  <c r="P13" i="30"/>
  <c r="C32" i="30"/>
  <c r="E32" i="30" s="1"/>
  <c r="C54" i="30"/>
  <c r="E54" i="30" s="1"/>
  <c r="C57" i="30"/>
  <c r="E57" i="30" s="1"/>
  <c r="C30" i="30"/>
  <c r="E30" i="30" s="1"/>
  <c r="P17" i="30"/>
  <c r="P12" i="30"/>
  <c r="E49" i="30"/>
  <c r="S52" i="30"/>
  <c r="S30" i="30"/>
  <c r="E19" i="30"/>
  <c r="S51" i="30"/>
  <c r="S29" i="30"/>
  <c r="M13" i="29"/>
  <c r="N13" i="29" s="1"/>
  <c r="M9" i="29"/>
  <c r="N9" i="29" s="1"/>
  <c r="M16" i="29"/>
  <c r="N16" i="29" s="1"/>
  <c r="M11" i="29"/>
  <c r="N11" i="29" s="1"/>
  <c r="M15" i="29"/>
  <c r="N15" i="29" s="1"/>
  <c r="M7" i="29"/>
  <c r="N7" i="29" s="1"/>
  <c r="M8" i="29"/>
  <c r="N8" i="29" s="1"/>
  <c r="M10" i="29"/>
  <c r="N10" i="29" s="1"/>
  <c r="M17" i="29"/>
  <c r="N17" i="29" s="1"/>
  <c r="M12" i="29"/>
  <c r="N12" i="29" s="1"/>
  <c r="M14" i="29"/>
  <c r="N14" i="29" s="1"/>
  <c r="M6" i="29"/>
  <c r="N6" i="29" s="1"/>
  <c r="C41" i="29"/>
  <c r="E27" i="29"/>
  <c r="E41" i="29" s="1"/>
  <c r="S30" i="29"/>
  <c r="S31" i="29"/>
  <c r="S27" i="29"/>
  <c r="P18" i="29"/>
  <c r="E49" i="29"/>
  <c r="E63" i="29" s="1"/>
  <c r="F63" i="29" s="1"/>
  <c r="C63" i="29"/>
  <c r="S29" i="29"/>
  <c r="C9" i="20"/>
  <c r="E9" i="20" s="1"/>
  <c r="C14" i="20"/>
  <c r="E14" i="20" s="1"/>
  <c r="C12" i="20"/>
  <c r="E12" i="20" s="1"/>
  <c r="P12" i="28"/>
  <c r="P6" i="28"/>
  <c r="P16" i="28"/>
  <c r="P8" i="28"/>
  <c r="C15" i="20"/>
  <c r="E15" i="20" s="1"/>
  <c r="C11" i="20"/>
  <c r="E11" i="20" s="1"/>
  <c r="C7" i="20"/>
  <c r="E7" i="20" s="1"/>
  <c r="C17" i="20"/>
  <c r="E17" i="20" s="1"/>
  <c r="C10" i="20"/>
  <c r="E10" i="20" s="1"/>
  <c r="C13" i="20"/>
  <c r="E13" i="20" s="1"/>
  <c r="C16" i="20"/>
  <c r="E16" i="20" s="1"/>
  <c r="C12" i="21"/>
  <c r="C17" i="21"/>
  <c r="E17" i="21" s="1"/>
  <c r="C13" i="21"/>
  <c r="E13" i="21" s="1"/>
  <c r="C7" i="21"/>
  <c r="E7" i="21" s="1"/>
  <c r="C15" i="21"/>
  <c r="E15" i="21" s="1"/>
  <c r="C9" i="21"/>
  <c r="E9" i="21" s="1"/>
  <c r="P9" i="28"/>
  <c r="P13" i="28"/>
  <c r="P15" i="28"/>
  <c r="P14" i="28"/>
  <c r="C8" i="20"/>
  <c r="P10" i="28"/>
  <c r="C6" i="28"/>
  <c r="C10" i="28"/>
  <c r="P17" i="28"/>
  <c r="E13" i="28"/>
  <c r="E16" i="28"/>
  <c r="E6" i="28"/>
  <c r="E10" i="28"/>
  <c r="E18" i="21"/>
  <c r="E16" i="21"/>
  <c r="E18" i="20"/>
  <c r="E10" i="21"/>
  <c r="E61" i="21"/>
  <c r="E15" i="28"/>
  <c r="B63" i="28"/>
  <c r="E61" i="28"/>
  <c r="E39" i="20"/>
  <c r="E61" i="20"/>
  <c r="E8" i="28"/>
  <c r="E14" i="28"/>
  <c r="B41" i="28"/>
  <c r="C30" i="28" s="1"/>
  <c r="E30" i="28" s="1"/>
  <c r="C37" i="28"/>
  <c r="E37" i="28" s="1"/>
  <c r="E6" i="20"/>
  <c r="E8" i="21"/>
  <c r="E7" i="28"/>
  <c r="E12" i="28"/>
  <c r="E17" i="28"/>
  <c r="C52" i="28"/>
  <c r="E52" i="28" s="1"/>
  <c r="E9" i="28"/>
  <c r="C28" i="28"/>
  <c r="E28" i="28" s="1"/>
  <c r="C54" i="28"/>
  <c r="E54" i="28" s="1"/>
  <c r="C19" i="28"/>
  <c r="C31" i="28"/>
  <c r="E31" i="28" s="1"/>
  <c r="C38" i="28"/>
  <c r="E38" i="28" s="1"/>
  <c r="C39" i="28"/>
  <c r="E39" i="28" s="1"/>
  <c r="C57" i="28"/>
  <c r="E57" i="28" s="1"/>
  <c r="C58" i="28"/>
  <c r="E58" i="28" s="1"/>
  <c r="C11" i="21"/>
  <c r="E11" i="21" s="1"/>
  <c r="E6" i="21"/>
  <c r="E14" i="21"/>
  <c r="B41" i="21"/>
  <c r="C37" i="21" s="1"/>
  <c r="E37" i="21" s="1"/>
  <c r="B63" i="21"/>
  <c r="E12" i="21"/>
  <c r="C39" i="21"/>
  <c r="E39" i="21" s="1"/>
  <c r="B41" i="20"/>
  <c r="C55" i="20" s="1"/>
  <c r="E55" i="20" s="1"/>
  <c r="B63" i="20"/>
  <c r="C61" i="10"/>
  <c r="C61" i="11"/>
  <c r="C61" i="14"/>
  <c r="C61" i="15"/>
  <c r="C61" i="17"/>
  <c r="C61" i="18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62" i="18"/>
  <c r="D61" i="18"/>
  <c r="D60" i="18"/>
  <c r="D59" i="18"/>
  <c r="D58" i="18"/>
  <c r="D57" i="18"/>
  <c r="D56" i="18"/>
  <c r="D55" i="18"/>
  <c r="D54" i="18"/>
  <c r="D53" i="18"/>
  <c r="D52" i="18"/>
  <c r="D51" i="18"/>
  <c r="D50" i="18"/>
  <c r="D49" i="18"/>
  <c r="D40" i="10"/>
  <c r="D40" i="11"/>
  <c r="D40" i="14"/>
  <c r="D40" i="15"/>
  <c r="D40" i="17"/>
  <c r="D40" i="18"/>
  <c r="D28" i="10"/>
  <c r="D29" i="10"/>
  <c r="D30" i="10"/>
  <c r="D31" i="10"/>
  <c r="D32" i="10"/>
  <c r="D33" i="10"/>
  <c r="D34" i="10"/>
  <c r="D35" i="10"/>
  <c r="D36" i="10"/>
  <c r="D37" i="10"/>
  <c r="D38" i="10"/>
  <c r="D39" i="10"/>
  <c r="D28" i="11"/>
  <c r="D29" i="11"/>
  <c r="D30" i="11"/>
  <c r="D31" i="11"/>
  <c r="D32" i="11"/>
  <c r="D33" i="11"/>
  <c r="D34" i="11"/>
  <c r="D35" i="11"/>
  <c r="D36" i="11"/>
  <c r="D37" i="11"/>
  <c r="D38" i="11"/>
  <c r="D39" i="11"/>
  <c r="D28" i="14"/>
  <c r="D29" i="14"/>
  <c r="D30" i="14"/>
  <c r="D31" i="14"/>
  <c r="D32" i="14"/>
  <c r="D33" i="14"/>
  <c r="D34" i="14"/>
  <c r="D35" i="14"/>
  <c r="D36" i="14"/>
  <c r="D37" i="14"/>
  <c r="D38" i="14"/>
  <c r="D39" i="14"/>
  <c r="D28" i="15"/>
  <c r="D29" i="15"/>
  <c r="D30" i="15"/>
  <c r="D31" i="15"/>
  <c r="D32" i="15"/>
  <c r="D33" i="15"/>
  <c r="D34" i="15"/>
  <c r="D35" i="15"/>
  <c r="D36" i="15"/>
  <c r="D37" i="15"/>
  <c r="D38" i="15"/>
  <c r="D39" i="15"/>
  <c r="D28" i="17"/>
  <c r="D29" i="17"/>
  <c r="D30" i="17"/>
  <c r="D31" i="17"/>
  <c r="D32" i="17"/>
  <c r="D33" i="17"/>
  <c r="D34" i="17"/>
  <c r="D35" i="17"/>
  <c r="D36" i="17"/>
  <c r="D37" i="17"/>
  <c r="D38" i="17"/>
  <c r="D39" i="17"/>
  <c r="D28" i="18"/>
  <c r="D29" i="18"/>
  <c r="D30" i="18"/>
  <c r="D31" i="18"/>
  <c r="D32" i="18"/>
  <c r="D33" i="18"/>
  <c r="D34" i="18"/>
  <c r="D35" i="18"/>
  <c r="D36" i="18"/>
  <c r="D37" i="18"/>
  <c r="D38" i="18"/>
  <c r="D39" i="18"/>
  <c r="D27" i="10"/>
  <c r="D27" i="11"/>
  <c r="D27" i="14"/>
  <c r="D27" i="15"/>
  <c r="D27" i="17"/>
  <c r="D27" i="18"/>
  <c r="C39" i="10"/>
  <c r="C39" i="14"/>
  <c r="C39" i="17"/>
  <c r="C39" i="18"/>
  <c r="B19" i="18"/>
  <c r="C17" i="18" s="1"/>
  <c r="C18" i="18"/>
  <c r="D6" i="18"/>
  <c r="B19" i="17"/>
  <c r="C11" i="17" s="1"/>
  <c r="C18" i="17"/>
  <c r="D6" i="17"/>
  <c r="D6" i="15"/>
  <c r="B19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6" i="14"/>
  <c r="D7" i="11"/>
  <c r="D8" i="11"/>
  <c r="D9" i="11"/>
  <c r="D10" i="11"/>
  <c r="D11" i="11"/>
  <c r="D12" i="11"/>
  <c r="D13" i="11"/>
  <c r="D14" i="11"/>
  <c r="D15" i="11"/>
  <c r="D16" i="11"/>
  <c r="D17" i="11"/>
  <c r="D18" i="11"/>
  <c r="D6" i="11"/>
  <c r="D7" i="10"/>
  <c r="D8" i="10"/>
  <c r="D9" i="10"/>
  <c r="D10" i="10"/>
  <c r="D11" i="10"/>
  <c r="D12" i="10"/>
  <c r="D13" i="10"/>
  <c r="D14" i="10"/>
  <c r="D15" i="10"/>
  <c r="D16" i="10"/>
  <c r="D17" i="10"/>
  <c r="D18" i="10"/>
  <c r="D6" i="10"/>
  <c r="E16" i="16"/>
  <c r="H16" i="16" s="1"/>
  <c r="E15" i="16"/>
  <c r="H15" i="16" s="1"/>
  <c r="D15" i="16"/>
  <c r="E14" i="16"/>
  <c r="H14" i="16" s="1"/>
  <c r="D14" i="16"/>
  <c r="E13" i="16"/>
  <c r="D13" i="16"/>
  <c r="H13" i="16" s="1"/>
  <c r="E12" i="16"/>
  <c r="E11" i="16"/>
  <c r="E3" i="16"/>
  <c r="E10" i="16"/>
  <c r="D10" i="16"/>
  <c r="E9" i="16"/>
  <c r="D9" i="16"/>
  <c r="H9" i="16" s="1"/>
  <c r="E4" i="16"/>
  <c r="E5" i="16"/>
  <c r="E8" i="16"/>
  <c r="H8" i="16" s="1"/>
  <c r="D8" i="16"/>
  <c r="D7" i="16"/>
  <c r="E7" i="16"/>
  <c r="E6" i="16"/>
  <c r="D6" i="16"/>
  <c r="D5" i="16"/>
  <c r="D4" i="16"/>
  <c r="H6" i="16"/>
  <c r="H7" i="16"/>
  <c r="D11" i="16"/>
  <c r="H11" i="16" s="1"/>
  <c r="D12" i="16"/>
  <c r="D16" i="16"/>
  <c r="D3" i="16"/>
  <c r="H4" i="16"/>
  <c r="H5" i="16"/>
  <c r="H12" i="16"/>
  <c r="N11" i="34" l="1"/>
  <c r="N10" i="34"/>
  <c r="N9" i="34"/>
  <c r="N6" i="34"/>
  <c r="N8" i="34"/>
  <c r="N7" i="34"/>
  <c r="M54" i="34"/>
  <c r="N54" i="34" s="1"/>
  <c r="P54" i="34" s="1"/>
  <c r="O54" i="34" s="1"/>
  <c r="M52" i="34"/>
  <c r="N52" i="34" s="1"/>
  <c r="P52" i="34" s="1"/>
  <c r="M61" i="34"/>
  <c r="N61" i="34" s="1"/>
  <c r="P61" i="34" s="1"/>
  <c r="O61" i="34" s="1"/>
  <c r="M60" i="34"/>
  <c r="N60" i="34" s="1"/>
  <c r="P60" i="34" s="1"/>
  <c r="O60" i="34" s="1"/>
  <c r="M59" i="34"/>
  <c r="N59" i="34" s="1"/>
  <c r="P59" i="34" s="1"/>
  <c r="O59" i="34" s="1"/>
  <c r="M58" i="34"/>
  <c r="N58" i="34" s="1"/>
  <c r="P58" i="34" s="1"/>
  <c r="O58" i="34" s="1"/>
  <c r="M62" i="34"/>
  <c r="N62" i="34" s="1"/>
  <c r="P62" i="34" s="1"/>
  <c r="O62" i="34" s="1"/>
  <c r="M51" i="34"/>
  <c r="N51" i="34" s="1"/>
  <c r="P51" i="34" s="1"/>
  <c r="M49" i="34"/>
  <c r="N49" i="34" s="1"/>
  <c r="M55" i="34"/>
  <c r="N55" i="34" s="1"/>
  <c r="P55" i="34" s="1"/>
  <c r="O55" i="34" s="1"/>
  <c r="M50" i="34"/>
  <c r="N50" i="34" s="1"/>
  <c r="P50" i="34" s="1"/>
  <c r="O50" i="34" s="1"/>
  <c r="M57" i="34"/>
  <c r="N57" i="34" s="1"/>
  <c r="P57" i="34" s="1"/>
  <c r="O57" i="34" s="1"/>
  <c r="M53" i="34"/>
  <c r="N53" i="34" s="1"/>
  <c r="P53" i="34" s="1"/>
  <c r="M56" i="34"/>
  <c r="N56" i="34" s="1"/>
  <c r="P56" i="34" s="1"/>
  <c r="O56" i="34" s="1"/>
  <c r="M32" i="34"/>
  <c r="N32" i="34" s="1"/>
  <c r="P32" i="34" s="1"/>
  <c r="O32" i="34" s="1"/>
  <c r="M30" i="34"/>
  <c r="N30" i="34" s="1"/>
  <c r="P30" i="34" s="1"/>
  <c r="M27" i="34"/>
  <c r="N27" i="34" s="1"/>
  <c r="M40" i="34"/>
  <c r="N40" i="34" s="1"/>
  <c r="P40" i="34" s="1"/>
  <c r="O40" i="34" s="1"/>
  <c r="M29" i="34"/>
  <c r="N29" i="34" s="1"/>
  <c r="P29" i="34" s="1"/>
  <c r="M39" i="34"/>
  <c r="N39" i="34" s="1"/>
  <c r="P39" i="34" s="1"/>
  <c r="O39" i="34" s="1"/>
  <c r="M36" i="34"/>
  <c r="N36" i="34" s="1"/>
  <c r="P36" i="34" s="1"/>
  <c r="O36" i="34" s="1"/>
  <c r="M31" i="34"/>
  <c r="N31" i="34" s="1"/>
  <c r="P31" i="34" s="1"/>
  <c r="M35" i="34"/>
  <c r="N35" i="34" s="1"/>
  <c r="P35" i="34" s="1"/>
  <c r="O35" i="34" s="1"/>
  <c r="M38" i="34"/>
  <c r="N38" i="34" s="1"/>
  <c r="P38" i="34" s="1"/>
  <c r="O38" i="34" s="1"/>
  <c r="M34" i="34"/>
  <c r="N34" i="34" s="1"/>
  <c r="P34" i="34" s="1"/>
  <c r="O34" i="34" s="1"/>
  <c r="M28" i="34"/>
  <c r="N28" i="34" s="1"/>
  <c r="P28" i="34" s="1"/>
  <c r="O28" i="34" s="1"/>
  <c r="M37" i="34"/>
  <c r="N37" i="34" s="1"/>
  <c r="P37" i="34" s="1"/>
  <c r="O37" i="34" s="1"/>
  <c r="M33" i="34"/>
  <c r="N33" i="34" s="1"/>
  <c r="P33" i="34" s="1"/>
  <c r="O33" i="34" s="1"/>
  <c r="C63" i="33"/>
  <c r="E41" i="33"/>
  <c r="F41" i="33" s="1"/>
  <c r="M39" i="33" s="1"/>
  <c r="N39" i="33" s="1"/>
  <c r="P39" i="33" s="1"/>
  <c r="O39" i="33" s="1"/>
  <c r="E63" i="33"/>
  <c r="F63" i="33" s="1"/>
  <c r="M52" i="33" s="1"/>
  <c r="N52" i="33" s="1"/>
  <c r="P52" i="33" s="1"/>
  <c r="P18" i="33"/>
  <c r="S51" i="33"/>
  <c r="M54" i="33"/>
  <c r="N54" i="33" s="1"/>
  <c r="P54" i="33" s="1"/>
  <c r="O54" i="33" s="1"/>
  <c r="M49" i="33"/>
  <c r="N49" i="33" s="1"/>
  <c r="M51" i="33"/>
  <c r="N51" i="33" s="1"/>
  <c r="P51" i="33" s="1"/>
  <c r="M50" i="33"/>
  <c r="N50" i="33" s="1"/>
  <c r="P50" i="33" s="1"/>
  <c r="O50" i="33" s="1"/>
  <c r="M60" i="33"/>
  <c r="N60" i="33" s="1"/>
  <c r="P60" i="33" s="1"/>
  <c r="O60" i="33" s="1"/>
  <c r="M56" i="33"/>
  <c r="N56" i="33" s="1"/>
  <c r="P56" i="33" s="1"/>
  <c r="O56" i="33" s="1"/>
  <c r="S52" i="33"/>
  <c r="S54" i="33" s="1"/>
  <c r="S30" i="33"/>
  <c r="S32" i="33" s="1"/>
  <c r="M35" i="33"/>
  <c r="N35" i="33" s="1"/>
  <c r="P35" i="33" s="1"/>
  <c r="O35" i="33" s="1"/>
  <c r="M31" i="33"/>
  <c r="N31" i="33" s="1"/>
  <c r="P31" i="33" s="1"/>
  <c r="M27" i="33"/>
  <c r="N27" i="33" s="1"/>
  <c r="M29" i="33"/>
  <c r="N29" i="33" s="1"/>
  <c r="P29" i="33" s="1"/>
  <c r="M28" i="33"/>
  <c r="N28" i="33" s="1"/>
  <c r="P28" i="33" s="1"/>
  <c r="O28" i="33" s="1"/>
  <c r="M37" i="33"/>
  <c r="N37" i="33" s="1"/>
  <c r="P37" i="33" s="1"/>
  <c r="O37" i="33" s="1"/>
  <c r="M38" i="33"/>
  <c r="N38" i="33" s="1"/>
  <c r="P38" i="33" s="1"/>
  <c r="O38" i="33" s="1"/>
  <c r="M34" i="33"/>
  <c r="N34" i="33" s="1"/>
  <c r="P34" i="33" s="1"/>
  <c r="O34" i="33" s="1"/>
  <c r="N18" i="33"/>
  <c r="N19" i="33" s="1"/>
  <c r="N18" i="29"/>
  <c r="N19" i="29" s="1"/>
  <c r="C41" i="30"/>
  <c r="C63" i="30"/>
  <c r="E41" i="30"/>
  <c r="S49" i="30"/>
  <c r="S27" i="30"/>
  <c r="P18" i="30"/>
  <c r="M13" i="30"/>
  <c r="N13" i="30" s="1"/>
  <c r="M15" i="30"/>
  <c r="N15" i="30" s="1"/>
  <c r="M12" i="30"/>
  <c r="N12" i="30" s="1"/>
  <c r="M10" i="30"/>
  <c r="N10" i="30" s="1"/>
  <c r="M7" i="30"/>
  <c r="N7" i="30" s="1"/>
  <c r="M17" i="30"/>
  <c r="N17" i="30" s="1"/>
  <c r="M16" i="30"/>
  <c r="N16" i="30" s="1"/>
  <c r="M14" i="30"/>
  <c r="N14" i="30" s="1"/>
  <c r="M11" i="30"/>
  <c r="N11" i="30" s="1"/>
  <c r="M9" i="30"/>
  <c r="N9" i="30" s="1"/>
  <c r="M8" i="30"/>
  <c r="N8" i="30" s="1"/>
  <c r="M6" i="30"/>
  <c r="N6" i="30" s="1"/>
  <c r="E63" i="30"/>
  <c r="F63" i="30" s="1"/>
  <c r="S53" i="30"/>
  <c r="S31" i="30"/>
  <c r="S32" i="29"/>
  <c r="S54" i="29"/>
  <c r="M54" i="29"/>
  <c r="N54" i="29" s="1"/>
  <c r="P54" i="29" s="1"/>
  <c r="O54" i="29" s="1"/>
  <c r="M52" i="29"/>
  <c r="N52" i="29" s="1"/>
  <c r="P52" i="29" s="1"/>
  <c r="M51" i="29"/>
  <c r="N51" i="29" s="1"/>
  <c r="P51" i="29" s="1"/>
  <c r="M49" i="29"/>
  <c r="N49" i="29" s="1"/>
  <c r="M61" i="29"/>
  <c r="N61" i="29" s="1"/>
  <c r="P61" i="29" s="1"/>
  <c r="O61" i="29" s="1"/>
  <c r="M60" i="29"/>
  <c r="N60" i="29" s="1"/>
  <c r="P60" i="29" s="1"/>
  <c r="O60" i="29" s="1"/>
  <c r="M59" i="29"/>
  <c r="N59" i="29" s="1"/>
  <c r="P59" i="29" s="1"/>
  <c r="O59" i="29" s="1"/>
  <c r="M58" i="29"/>
  <c r="N58" i="29" s="1"/>
  <c r="P58" i="29" s="1"/>
  <c r="O58" i="29" s="1"/>
  <c r="M57" i="29"/>
  <c r="N57" i="29" s="1"/>
  <c r="P57" i="29" s="1"/>
  <c r="O57" i="29" s="1"/>
  <c r="M56" i="29"/>
  <c r="N56" i="29" s="1"/>
  <c r="P56" i="29" s="1"/>
  <c r="O56" i="29" s="1"/>
  <c r="M55" i="29"/>
  <c r="N55" i="29" s="1"/>
  <c r="P55" i="29" s="1"/>
  <c r="O55" i="29" s="1"/>
  <c r="M50" i="29"/>
  <c r="N50" i="29" s="1"/>
  <c r="P50" i="29" s="1"/>
  <c r="O50" i="29" s="1"/>
  <c r="M53" i="29"/>
  <c r="N53" i="29" s="1"/>
  <c r="P53" i="29" s="1"/>
  <c r="M32" i="29"/>
  <c r="N32" i="29" s="1"/>
  <c r="P32" i="29" s="1"/>
  <c r="O32" i="29" s="1"/>
  <c r="M30" i="29"/>
  <c r="N30" i="29" s="1"/>
  <c r="P30" i="29" s="1"/>
  <c r="M29" i="29"/>
  <c r="N29" i="29" s="1"/>
  <c r="P29" i="29" s="1"/>
  <c r="M27" i="29"/>
  <c r="N27" i="29" s="1"/>
  <c r="P27" i="29" s="1"/>
  <c r="O27" i="29" s="1"/>
  <c r="M39" i="29"/>
  <c r="N39" i="29" s="1"/>
  <c r="P39" i="29" s="1"/>
  <c r="O39" i="29" s="1"/>
  <c r="M38" i="29"/>
  <c r="N38" i="29" s="1"/>
  <c r="P38" i="29" s="1"/>
  <c r="O38" i="29" s="1"/>
  <c r="M37" i="29"/>
  <c r="N37" i="29" s="1"/>
  <c r="P37" i="29" s="1"/>
  <c r="O37" i="29" s="1"/>
  <c r="M36" i="29"/>
  <c r="N36" i="29" s="1"/>
  <c r="P36" i="29" s="1"/>
  <c r="O36" i="29" s="1"/>
  <c r="M35" i="29"/>
  <c r="N35" i="29" s="1"/>
  <c r="P35" i="29" s="1"/>
  <c r="O35" i="29" s="1"/>
  <c r="M34" i="29"/>
  <c r="N34" i="29" s="1"/>
  <c r="P34" i="29" s="1"/>
  <c r="O34" i="29" s="1"/>
  <c r="M33" i="29"/>
  <c r="N33" i="29" s="1"/>
  <c r="P33" i="29" s="1"/>
  <c r="O33" i="29" s="1"/>
  <c r="M31" i="29"/>
  <c r="N31" i="29" s="1"/>
  <c r="P31" i="29" s="1"/>
  <c r="M28" i="29"/>
  <c r="N28" i="29" s="1"/>
  <c r="P28" i="29" s="1"/>
  <c r="O28" i="29" s="1"/>
  <c r="C19" i="20"/>
  <c r="E8" i="20"/>
  <c r="E19" i="20" s="1"/>
  <c r="S53" i="21"/>
  <c r="S53" i="18"/>
  <c r="S31" i="21"/>
  <c r="S31" i="17"/>
  <c r="S53" i="11"/>
  <c r="S53" i="15"/>
  <c r="S53" i="10"/>
  <c r="S31" i="18"/>
  <c r="S31" i="28"/>
  <c r="S53" i="14"/>
  <c r="S31" i="10"/>
  <c r="S31" i="15"/>
  <c r="S31" i="11"/>
  <c r="S53" i="20"/>
  <c r="S31" i="14"/>
  <c r="S53" i="17"/>
  <c r="S31" i="20"/>
  <c r="S51" i="21"/>
  <c r="S51" i="18"/>
  <c r="S29" i="10"/>
  <c r="S29" i="15"/>
  <c r="S29" i="11"/>
  <c r="S51" i="11"/>
  <c r="S51" i="15"/>
  <c r="S51" i="10"/>
  <c r="S29" i="20"/>
  <c r="S29" i="14"/>
  <c r="S51" i="14"/>
  <c r="S29" i="21"/>
  <c r="S29" i="17"/>
  <c r="S29" i="28"/>
  <c r="S51" i="20"/>
  <c r="S29" i="18"/>
  <c r="S51" i="17"/>
  <c r="C49" i="28"/>
  <c r="S49" i="14"/>
  <c r="S49" i="17"/>
  <c r="S27" i="11"/>
  <c r="S49" i="20"/>
  <c r="S49" i="18"/>
  <c r="S27" i="10"/>
  <c r="S27" i="15"/>
  <c r="S49" i="21"/>
  <c r="S49" i="10"/>
  <c r="S27" i="20"/>
  <c r="S27" i="17"/>
  <c r="S49" i="15"/>
  <c r="S27" i="28"/>
  <c r="S27" i="14"/>
  <c r="S27" i="21"/>
  <c r="P18" i="28"/>
  <c r="S49" i="11"/>
  <c r="S27" i="18"/>
  <c r="S52" i="14"/>
  <c r="S30" i="20"/>
  <c r="S30" i="14"/>
  <c r="S52" i="20"/>
  <c r="S52" i="17"/>
  <c r="S30" i="21"/>
  <c r="S30" i="17"/>
  <c r="S52" i="21"/>
  <c r="S52" i="18"/>
  <c r="S30" i="18"/>
  <c r="S30" i="28"/>
  <c r="S52" i="10"/>
  <c r="S30" i="10"/>
  <c r="S52" i="11"/>
  <c r="S30" i="15"/>
  <c r="S52" i="15"/>
  <c r="S30" i="11"/>
  <c r="C29" i="20"/>
  <c r="E29" i="20" s="1"/>
  <c r="C33" i="28"/>
  <c r="E33" i="28" s="1"/>
  <c r="C55" i="28"/>
  <c r="E55" i="28" s="1"/>
  <c r="C51" i="28"/>
  <c r="E51" i="28" s="1"/>
  <c r="C29" i="28"/>
  <c r="E29" i="28" s="1"/>
  <c r="C35" i="28"/>
  <c r="E35" i="28" s="1"/>
  <c r="E19" i="28"/>
  <c r="M6" i="28" s="1"/>
  <c r="N6" i="28" s="1"/>
  <c r="C27" i="28"/>
  <c r="E27" i="28" s="1"/>
  <c r="C53" i="28"/>
  <c r="E53" i="28" s="1"/>
  <c r="C59" i="28"/>
  <c r="E59" i="28" s="1"/>
  <c r="C56" i="28"/>
  <c r="E56" i="28" s="1"/>
  <c r="C34" i="28"/>
  <c r="E34" i="28" s="1"/>
  <c r="C60" i="28"/>
  <c r="E60" i="28" s="1"/>
  <c r="C32" i="28"/>
  <c r="E32" i="28" s="1"/>
  <c r="C36" i="28"/>
  <c r="E36" i="28" s="1"/>
  <c r="C50" i="28"/>
  <c r="E50" i="28" s="1"/>
  <c r="C19" i="21"/>
  <c r="M11" i="28"/>
  <c r="N11" i="28" s="1"/>
  <c r="E49" i="28"/>
  <c r="C54" i="21"/>
  <c r="E54" i="21" s="1"/>
  <c r="C56" i="21"/>
  <c r="E56" i="21" s="1"/>
  <c r="C53" i="21"/>
  <c r="E53" i="21" s="1"/>
  <c r="C50" i="21"/>
  <c r="E50" i="21" s="1"/>
  <c r="C49" i="21"/>
  <c r="C36" i="21"/>
  <c r="E36" i="21" s="1"/>
  <c r="C35" i="21"/>
  <c r="E35" i="21" s="1"/>
  <c r="C34" i="21"/>
  <c r="E34" i="21" s="1"/>
  <c r="C33" i="21"/>
  <c r="E33" i="21" s="1"/>
  <c r="C31" i="21"/>
  <c r="E31" i="21" s="1"/>
  <c r="C28" i="21"/>
  <c r="E28" i="21" s="1"/>
  <c r="C27" i="21"/>
  <c r="C60" i="21"/>
  <c r="E60" i="21" s="1"/>
  <c r="C59" i="21"/>
  <c r="E59" i="21" s="1"/>
  <c r="C32" i="21"/>
  <c r="E32" i="21" s="1"/>
  <c r="C29" i="21"/>
  <c r="E29" i="21" s="1"/>
  <c r="C58" i="21"/>
  <c r="E58" i="21" s="1"/>
  <c r="C52" i="21"/>
  <c r="E52" i="21" s="1"/>
  <c r="E19" i="21"/>
  <c r="C55" i="21"/>
  <c r="E55" i="21" s="1"/>
  <c r="C38" i="21"/>
  <c r="E38" i="21" s="1"/>
  <c r="C30" i="21"/>
  <c r="E30" i="21" s="1"/>
  <c r="C57" i="21"/>
  <c r="E57" i="21" s="1"/>
  <c r="C51" i="21"/>
  <c r="E51" i="21" s="1"/>
  <c r="C31" i="20"/>
  <c r="E31" i="20" s="1"/>
  <c r="C59" i="20"/>
  <c r="E59" i="20" s="1"/>
  <c r="C28" i="20"/>
  <c r="E28" i="20" s="1"/>
  <c r="C50" i="20"/>
  <c r="E50" i="20" s="1"/>
  <c r="C57" i="20"/>
  <c r="E57" i="20" s="1"/>
  <c r="C58" i="20"/>
  <c r="E58" i="20" s="1"/>
  <c r="C38" i="20"/>
  <c r="E38" i="20" s="1"/>
  <c r="C37" i="20"/>
  <c r="E37" i="20" s="1"/>
  <c r="C32" i="20"/>
  <c r="E32" i="20" s="1"/>
  <c r="C30" i="20"/>
  <c r="E30" i="20" s="1"/>
  <c r="C52" i="20"/>
  <c r="E52" i="20" s="1"/>
  <c r="C35" i="20"/>
  <c r="E35" i="20" s="1"/>
  <c r="C49" i="20"/>
  <c r="C34" i="20"/>
  <c r="E34" i="20" s="1"/>
  <c r="C60" i="20"/>
  <c r="E60" i="20" s="1"/>
  <c r="C54" i="20"/>
  <c r="E54" i="20" s="1"/>
  <c r="C33" i="20"/>
  <c r="E33" i="20" s="1"/>
  <c r="C56" i="20"/>
  <c r="E56" i="20" s="1"/>
  <c r="C36" i="20"/>
  <c r="E36" i="20" s="1"/>
  <c r="C27" i="20"/>
  <c r="C51" i="20"/>
  <c r="E51" i="20" s="1"/>
  <c r="C53" i="20"/>
  <c r="E53" i="20" s="1"/>
  <c r="E61" i="18"/>
  <c r="E61" i="17"/>
  <c r="E61" i="11"/>
  <c r="E18" i="18"/>
  <c r="E61" i="14"/>
  <c r="E18" i="17"/>
  <c r="B63" i="11"/>
  <c r="E11" i="17"/>
  <c r="B63" i="17"/>
  <c r="B63" i="14"/>
  <c r="E61" i="15"/>
  <c r="B63" i="18"/>
  <c r="B63" i="15"/>
  <c r="B63" i="10"/>
  <c r="E61" i="10"/>
  <c r="C7" i="18"/>
  <c r="E7" i="18" s="1"/>
  <c r="C11" i="18"/>
  <c r="E11" i="18" s="1"/>
  <c r="B41" i="18"/>
  <c r="C60" i="18" s="1"/>
  <c r="E60" i="18" s="1"/>
  <c r="C17" i="17"/>
  <c r="E17" i="17" s="1"/>
  <c r="C9" i="17"/>
  <c r="E9" i="17" s="1"/>
  <c r="C7" i="17"/>
  <c r="E7" i="17" s="1"/>
  <c r="C6" i="17"/>
  <c r="E6" i="17" s="1"/>
  <c r="C39" i="15"/>
  <c r="E39" i="15" s="1"/>
  <c r="C39" i="11"/>
  <c r="E39" i="11" s="1"/>
  <c r="B41" i="15"/>
  <c r="C52" i="15" s="1"/>
  <c r="E52" i="15" s="1"/>
  <c r="B41" i="14"/>
  <c r="C37" i="14" s="1"/>
  <c r="E37" i="14" s="1"/>
  <c r="B41" i="10"/>
  <c r="E17" i="18"/>
  <c r="E39" i="18"/>
  <c r="E39" i="17"/>
  <c r="E39" i="14"/>
  <c r="E39" i="10"/>
  <c r="B41" i="17"/>
  <c r="C58" i="17" s="1"/>
  <c r="E58" i="17" s="1"/>
  <c r="B41" i="11"/>
  <c r="C49" i="11" s="1"/>
  <c r="E49" i="11" s="1"/>
  <c r="C8" i="18"/>
  <c r="E8" i="18" s="1"/>
  <c r="C9" i="18"/>
  <c r="E9" i="18" s="1"/>
  <c r="C10" i="18"/>
  <c r="E10" i="18" s="1"/>
  <c r="C6" i="18"/>
  <c r="C12" i="18"/>
  <c r="E12" i="18" s="1"/>
  <c r="C13" i="18"/>
  <c r="E13" i="18" s="1"/>
  <c r="C14" i="18"/>
  <c r="E14" i="18" s="1"/>
  <c r="C15" i="18"/>
  <c r="E15" i="18" s="1"/>
  <c r="C16" i="18"/>
  <c r="E16" i="18" s="1"/>
  <c r="C8" i="17"/>
  <c r="E8" i="17" s="1"/>
  <c r="C10" i="17"/>
  <c r="E10" i="17" s="1"/>
  <c r="C12" i="17"/>
  <c r="E12" i="17" s="1"/>
  <c r="C13" i="17"/>
  <c r="E13" i="17" s="1"/>
  <c r="C14" i="17"/>
  <c r="E14" i="17" s="1"/>
  <c r="C15" i="17"/>
  <c r="E15" i="17" s="1"/>
  <c r="C16" i="17"/>
  <c r="E16" i="17" s="1"/>
  <c r="H10" i="16"/>
  <c r="B19" i="15"/>
  <c r="C15" i="15" s="1"/>
  <c r="E15" i="15" s="1"/>
  <c r="C18" i="15"/>
  <c r="E18" i="15" s="1"/>
  <c r="N18" i="34" l="1"/>
  <c r="N19" i="34" s="1"/>
  <c r="O31" i="34"/>
  <c r="T31" i="34"/>
  <c r="U31" i="34" s="1"/>
  <c r="T52" i="34"/>
  <c r="U52" i="34" s="1"/>
  <c r="O52" i="34"/>
  <c r="N41" i="34"/>
  <c r="N42" i="34" s="1"/>
  <c r="P27" i="34"/>
  <c r="O53" i="34"/>
  <c r="T53" i="34"/>
  <c r="U53" i="34" s="1"/>
  <c r="N63" i="34"/>
  <c r="N64" i="34" s="1"/>
  <c r="P49" i="34"/>
  <c r="O30" i="34"/>
  <c r="T30" i="34"/>
  <c r="U30" i="34" s="1"/>
  <c r="T51" i="34"/>
  <c r="U51" i="34" s="1"/>
  <c r="O51" i="34"/>
  <c r="T29" i="34"/>
  <c r="U29" i="34" s="1"/>
  <c r="O29" i="34"/>
  <c r="M30" i="33"/>
  <c r="N30" i="33" s="1"/>
  <c r="P30" i="33" s="1"/>
  <c r="O30" i="33" s="1"/>
  <c r="M32" i="33"/>
  <c r="N32" i="33" s="1"/>
  <c r="P32" i="33" s="1"/>
  <c r="O32" i="33" s="1"/>
  <c r="M55" i="33"/>
  <c r="N55" i="33" s="1"/>
  <c r="P55" i="33" s="1"/>
  <c r="O55" i="33" s="1"/>
  <c r="M57" i="33"/>
  <c r="N57" i="33" s="1"/>
  <c r="P57" i="33" s="1"/>
  <c r="O57" i="33" s="1"/>
  <c r="M53" i="33"/>
  <c r="N53" i="33" s="1"/>
  <c r="P53" i="33" s="1"/>
  <c r="O53" i="33" s="1"/>
  <c r="M59" i="33"/>
  <c r="N59" i="33" s="1"/>
  <c r="P59" i="33" s="1"/>
  <c r="O59" i="33" s="1"/>
  <c r="M33" i="33"/>
  <c r="N33" i="33" s="1"/>
  <c r="P33" i="33" s="1"/>
  <c r="O33" i="33" s="1"/>
  <c r="M36" i="33"/>
  <c r="N36" i="33" s="1"/>
  <c r="P36" i="33" s="1"/>
  <c r="O36" i="33" s="1"/>
  <c r="M61" i="33"/>
  <c r="N61" i="33" s="1"/>
  <c r="P61" i="33" s="1"/>
  <c r="O61" i="33" s="1"/>
  <c r="M58" i="33"/>
  <c r="N58" i="33" s="1"/>
  <c r="P58" i="33" s="1"/>
  <c r="O58" i="33" s="1"/>
  <c r="T31" i="33"/>
  <c r="U31" i="33" s="1"/>
  <c r="O31" i="33"/>
  <c r="T51" i="33"/>
  <c r="U51" i="33" s="1"/>
  <c r="O51" i="33"/>
  <c r="T29" i="33"/>
  <c r="U29" i="33" s="1"/>
  <c r="O29" i="33"/>
  <c r="T52" i="33"/>
  <c r="U52" i="33" s="1"/>
  <c r="O52" i="33"/>
  <c r="P27" i="33"/>
  <c r="N62" i="33"/>
  <c r="N63" i="33" s="1"/>
  <c r="P49" i="33"/>
  <c r="S54" i="30"/>
  <c r="M54" i="30"/>
  <c r="N54" i="30" s="1"/>
  <c r="P54" i="30" s="1"/>
  <c r="O54" i="30" s="1"/>
  <c r="M52" i="30"/>
  <c r="N52" i="30" s="1"/>
  <c r="P52" i="30" s="1"/>
  <c r="M51" i="30"/>
  <c r="N51" i="30" s="1"/>
  <c r="P51" i="30" s="1"/>
  <c r="M49" i="30"/>
  <c r="N49" i="30" s="1"/>
  <c r="M61" i="30"/>
  <c r="N61" i="30" s="1"/>
  <c r="P61" i="30" s="1"/>
  <c r="O61" i="30" s="1"/>
  <c r="M60" i="30"/>
  <c r="N60" i="30" s="1"/>
  <c r="P60" i="30" s="1"/>
  <c r="O60" i="30" s="1"/>
  <c r="M59" i="30"/>
  <c r="N59" i="30" s="1"/>
  <c r="P59" i="30" s="1"/>
  <c r="O59" i="30" s="1"/>
  <c r="M58" i="30"/>
  <c r="N58" i="30" s="1"/>
  <c r="P58" i="30" s="1"/>
  <c r="O58" i="30" s="1"/>
  <c r="M57" i="30"/>
  <c r="N57" i="30" s="1"/>
  <c r="P57" i="30" s="1"/>
  <c r="O57" i="30" s="1"/>
  <c r="M56" i="30"/>
  <c r="N56" i="30" s="1"/>
  <c r="P56" i="30" s="1"/>
  <c r="O56" i="30" s="1"/>
  <c r="M55" i="30"/>
  <c r="N55" i="30" s="1"/>
  <c r="P55" i="30" s="1"/>
  <c r="O55" i="30" s="1"/>
  <c r="M53" i="30"/>
  <c r="N53" i="30" s="1"/>
  <c r="P53" i="30" s="1"/>
  <c r="M50" i="30"/>
  <c r="N50" i="30" s="1"/>
  <c r="P50" i="30" s="1"/>
  <c r="O50" i="30" s="1"/>
  <c r="M32" i="30"/>
  <c r="N32" i="30" s="1"/>
  <c r="P32" i="30" s="1"/>
  <c r="O32" i="30" s="1"/>
  <c r="M30" i="30"/>
  <c r="N30" i="30" s="1"/>
  <c r="P30" i="30" s="1"/>
  <c r="M29" i="30"/>
  <c r="N29" i="30" s="1"/>
  <c r="P29" i="30" s="1"/>
  <c r="M27" i="30"/>
  <c r="N27" i="30" s="1"/>
  <c r="M39" i="30"/>
  <c r="N39" i="30" s="1"/>
  <c r="P39" i="30" s="1"/>
  <c r="O39" i="30" s="1"/>
  <c r="M38" i="30"/>
  <c r="N38" i="30" s="1"/>
  <c r="P38" i="30" s="1"/>
  <c r="O38" i="30" s="1"/>
  <c r="M37" i="30"/>
  <c r="N37" i="30" s="1"/>
  <c r="P37" i="30" s="1"/>
  <c r="O37" i="30" s="1"/>
  <c r="M36" i="30"/>
  <c r="N36" i="30" s="1"/>
  <c r="P36" i="30" s="1"/>
  <c r="O36" i="30" s="1"/>
  <c r="M35" i="30"/>
  <c r="N35" i="30" s="1"/>
  <c r="P35" i="30" s="1"/>
  <c r="O35" i="30" s="1"/>
  <c r="M34" i="30"/>
  <c r="N34" i="30" s="1"/>
  <c r="P34" i="30" s="1"/>
  <c r="O34" i="30" s="1"/>
  <c r="M33" i="30"/>
  <c r="N33" i="30" s="1"/>
  <c r="P33" i="30" s="1"/>
  <c r="O33" i="30" s="1"/>
  <c r="M28" i="30"/>
  <c r="N28" i="30" s="1"/>
  <c r="P28" i="30" s="1"/>
  <c r="O28" i="30" s="1"/>
  <c r="M31" i="30"/>
  <c r="N31" i="30" s="1"/>
  <c r="P31" i="30" s="1"/>
  <c r="N18" i="30"/>
  <c r="N19" i="30" s="1"/>
  <c r="S32" i="30"/>
  <c r="O31" i="29"/>
  <c r="T31" i="29"/>
  <c r="U31" i="29" s="1"/>
  <c r="N40" i="29"/>
  <c r="N41" i="29" s="1"/>
  <c r="N62" i="29"/>
  <c r="N63" i="29" s="1"/>
  <c r="P49" i="29"/>
  <c r="T51" i="29"/>
  <c r="U51" i="29" s="1"/>
  <c r="O51" i="29"/>
  <c r="O30" i="29"/>
  <c r="T30" i="29"/>
  <c r="U30" i="29" s="1"/>
  <c r="O52" i="29"/>
  <c r="T52" i="29"/>
  <c r="U52" i="29" s="1"/>
  <c r="T29" i="29"/>
  <c r="U29" i="29" s="1"/>
  <c r="O29" i="29"/>
  <c r="O53" i="29"/>
  <c r="T53" i="29"/>
  <c r="U53" i="29" s="1"/>
  <c r="M7" i="20"/>
  <c r="M9" i="20"/>
  <c r="M6" i="20"/>
  <c r="M8" i="20"/>
  <c r="M11" i="20"/>
  <c r="M12" i="20"/>
  <c r="M10" i="20"/>
  <c r="M9" i="28"/>
  <c r="N9" i="28" s="1"/>
  <c r="M15" i="28"/>
  <c r="N15" i="28" s="1"/>
  <c r="M16" i="28"/>
  <c r="N16" i="28" s="1"/>
  <c r="M17" i="28"/>
  <c r="N17" i="28" s="1"/>
  <c r="M10" i="28"/>
  <c r="N10" i="28" s="1"/>
  <c r="M12" i="28"/>
  <c r="N12" i="28" s="1"/>
  <c r="M7" i="28"/>
  <c r="N7" i="28" s="1"/>
  <c r="C32" i="15"/>
  <c r="E32" i="15" s="1"/>
  <c r="E41" i="28"/>
  <c r="F41" i="28" s="1"/>
  <c r="M27" i="28" s="1"/>
  <c r="N27" i="28" s="1"/>
  <c r="M14" i="28"/>
  <c r="N14" i="28" s="1"/>
  <c r="M8" i="28"/>
  <c r="N8" i="28" s="1"/>
  <c r="M13" i="28"/>
  <c r="N13" i="28" s="1"/>
  <c r="E63" i="28"/>
  <c r="F63" i="28" s="1"/>
  <c r="M57" i="28" s="1"/>
  <c r="N57" i="28" s="1"/>
  <c r="P57" i="28" s="1"/>
  <c r="C63" i="28"/>
  <c r="C41" i="28"/>
  <c r="M6" i="21"/>
  <c r="M12" i="21"/>
  <c r="M11" i="21"/>
  <c r="M9" i="21"/>
  <c r="M8" i="21"/>
  <c r="M7" i="21"/>
  <c r="M10" i="21"/>
  <c r="C41" i="21"/>
  <c r="E27" i="21"/>
  <c r="E41" i="21" s="1"/>
  <c r="F41" i="21" s="1"/>
  <c r="C63" i="21"/>
  <c r="E49" i="21"/>
  <c r="E63" i="21" s="1"/>
  <c r="F63" i="21" s="1"/>
  <c r="C63" i="20"/>
  <c r="E49" i="20"/>
  <c r="E63" i="20" s="1"/>
  <c r="F63" i="20" s="1"/>
  <c r="C41" i="20"/>
  <c r="E27" i="20"/>
  <c r="E41" i="20" s="1"/>
  <c r="F41" i="20" s="1"/>
  <c r="C31" i="18"/>
  <c r="E31" i="18" s="1"/>
  <c r="C49" i="18"/>
  <c r="E49" i="18" s="1"/>
  <c r="C50" i="17"/>
  <c r="E50" i="17" s="1"/>
  <c r="C52" i="18"/>
  <c r="E52" i="18" s="1"/>
  <c r="C38" i="18"/>
  <c r="E38" i="18" s="1"/>
  <c r="C59" i="17"/>
  <c r="E59" i="17" s="1"/>
  <c r="C51" i="18"/>
  <c r="E51" i="18" s="1"/>
  <c r="C51" i="17"/>
  <c r="E51" i="17" s="1"/>
  <c r="C30" i="18"/>
  <c r="E30" i="18" s="1"/>
  <c r="C33" i="18"/>
  <c r="E33" i="18" s="1"/>
  <c r="C57" i="17"/>
  <c r="E57" i="17" s="1"/>
  <c r="C59" i="14"/>
  <c r="E59" i="14" s="1"/>
  <c r="C31" i="14"/>
  <c r="E31" i="14" s="1"/>
  <c r="C49" i="14"/>
  <c r="E49" i="14" s="1"/>
  <c r="C55" i="14"/>
  <c r="E55" i="14" s="1"/>
  <c r="C50" i="14"/>
  <c r="E50" i="14" s="1"/>
  <c r="C57" i="18"/>
  <c r="E57" i="18" s="1"/>
  <c r="C54" i="14"/>
  <c r="E54" i="14" s="1"/>
  <c r="C57" i="14"/>
  <c r="E57" i="14" s="1"/>
  <c r="C51" i="14"/>
  <c r="E51" i="14" s="1"/>
  <c r="C56" i="14"/>
  <c r="E56" i="14" s="1"/>
  <c r="C60" i="14"/>
  <c r="E60" i="14" s="1"/>
  <c r="C33" i="15"/>
  <c r="E33" i="15" s="1"/>
  <c r="C60" i="15"/>
  <c r="E60" i="15" s="1"/>
  <c r="C55" i="15"/>
  <c r="E55" i="15" s="1"/>
  <c r="C50" i="15"/>
  <c r="E50" i="15" s="1"/>
  <c r="C54" i="15"/>
  <c r="E54" i="15" s="1"/>
  <c r="C57" i="15"/>
  <c r="E57" i="15" s="1"/>
  <c r="C56" i="15"/>
  <c r="E56" i="15" s="1"/>
  <c r="C58" i="15"/>
  <c r="E58" i="15" s="1"/>
  <c r="C51" i="15"/>
  <c r="E51" i="15" s="1"/>
  <c r="C59" i="15"/>
  <c r="E59" i="15" s="1"/>
  <c r="C36" i="15"/>
  <c r="E36" i="15" s="1"/>
  <c r="C49" i="15"/>
  <c r="C53" i="15"/>
  <c r="E53" i="15" s="1"/>
  <c r="C27" i="11"/>
  <c r="E27" i="11" s="1"/>
  <c r="C57" i="11"/>
  <c r="E57" i="11" s="1"/>
  <c r="C55" i="11"/>
  <c r="E55" i="11" s="1"/>
  <c r="C52" i="11"/>
  <c r="E52" i="11" s="1"/>
  <c r="C58" i="11"/>
  <c r="E58" i="11" s="1"/>
  <c r="C36" i="11"/>
  <c r="E36" i="11" s="1"/>
  <c r="C50" i="11"/>
  <c r="E50" i="11" s="1"/>
  <c r="C53" i="11"/>
  <c r="E53" i="11" s="1"/>
  <c r="C51" i="11"/>
  <c r="E51" i="11" s="1"/>
  <c r="C60" i="11"/>
  <c r="E60" i="11" s="1"/>
  <c r="C59" i="11"/>
  <c r="E59" i="11" s="1"/>
  <c r="C38" i="10"/>
  <c r="E38" i="10" s="1"/>
  <c r="C55" i="10"/>
  <c r="E55" i="10" s="1"/>
  <c r="C52" i="10"/>
  <c r="E52" i="10" s="1"/>
  <c r="C60" i="10"/>
  <c r="E60" i="10" s="1"/>
  <c r="C59" i="10"/>
  <c r="E59" i="10" s="1"/>
  <c r="C50" i="10"/>
  <c r="E50" i="10" s="1"/>
  <c r="C27" i="10"/>
  <c r="E27" i="10" s="1"/>
  <c r="C56" i="10"/>
  <c r="E56" i="10" s="1"/>
  <c r="C51" i="10"/>
  <c r="E51" i="10" s="1"/>
  <c r="C57" i="10"/>
  <c r="E57" i="10" s="1"/>
  <c r="C30" i="10"/>
  <c r="E30" i="10" s="1"/>
  <c r="C31" i="10"/>
  <c r="E31" i="10" s="1"/>
  <c r="C53" i="10"/>
  <c r="E53" i="10" s="1"/>
  <c r="C35" i="10"/>
  <c r="E35" i="10" s="1"/>
  <c r="C54" i="11"/>
  <c r="E54" i="11" s="1"/>
  <c r="C56" i="11"/>
  <c r="E56" i="11" s="1"/>
  <c r="C54" i="10"/>
  <c r="E54" i="10" s="1"/>
  <c r="C49" i="10"/>
  <c r="C58" i="10"/>
  <c r="E58" i="10" s="1"/>
  <c r="C34" i="17"/>
  <c r="E34" i="17" s="1"/>
  <c r="C56" i="17"/>
  <c r="E56" i="17" s="1"/>
  <c r="C53" i="17"/>
  <c r="E53" i="17" s="1"/>
  <c r="C37" i="18"/>
  <c r="E37" i="18" s="1"/>
  <c r="C58" i="18"/>
  <c r="E58" i="18" s="1"/>
  <c r="C54" i="18"/>
  <c r="E54" i="18" s="1"/>
  <c r="C50" i="18"/>
  <c r="E50" i="18" s="1"/>
  <c r="C54" i="17"/>
  <c r="E54" i="17" s="1"/>
  <c r="C52" i="17"/>
  <c r="E52" i="17" s="1"/>
  <c r="C38" i="14"/>
  <c r="E38" i="14" s="1"/>
  <c r="C29" i="18"/>
  <c r="E29" i="18" s="1"/>
  <c r="C49" i="17"/>
  <c r="E49" i="17" s="1"/>
  <c r="C58" i="14"/>
  <c r="E58" i="14" s="1"/>
  <c r="C55" i="18"/>
  <c r="E55" i="18" s="1"/>
  <c r="C52" i="14"/>
  <c r="E52" i="14" s="1"/>
  <c r="C56" i="18"/>
  <c r="E56" i="18" s="1"/>
  <c r="C53" i="14"/>
  <c r="E53" i="14" s="1"/>
  <c r="C59" i="18"/>
  <c r="E59" i="18" s="1"/>
  <c r="C55" i="17"/>
  <c r="E55" i="17" s="1"/>
  <c r="C53" i="18"/>
  <c r="E53" i="18" s="1"/>
  <c r="C60" i="17"/>
  <c r="E60" i="17" s="1"/>
  <c r="C27" i="14"/>
  <c r="E27" i="14" s="1"/>
  <c r="C36" i="14"/>
  <c r="E36" i="14" s="1"/>
  <c r="C34" i="18"/>
  <c r="E34" i="18" s="1"/>
  <c r="C35" i="18"/>
  <c r="E35" i="18" s="1"/>
  <c r="C35" i="14"/>
  <c r="E35" i="14" s="1"/>
  <c r="C32" i="14"/>
  <c r="E32" i="14" s="1"/>
  <c r="C33" i="10"/>
  <c r="E33" i="10" s="1"/>
  <c r="C29" i="14"/>
  <c r="E29" i="14" s="1"/>
  <c r="C29" i="15"/>
  <c r="E29" i="15" s="1"/>
  <c r="C33" i="17"/>
  <c r="E33" i="17" s="1"/>
  <c r="C31" i="11"/>
  <c r="E31" i="11" s="1"/>
  <c r="C35" i="11"/>
  <c r="E35" i="11" s="1"/>
  <c r="C34" i="11"/>
  <c r="E34" i="11" s="1"/>
  <c r="C38" i="11"/>
  <c r="E38" i="11" s="1"/>
  <c r="C30" i="11"/>
  <c r="E30" i="11" s="1"/>
  <c r="C30" i="17"/>
  <c r="E30" i="17" s="1"/>
  <c r="C27" i="15"/>
  <c r="C28" i="11"/>
  <c r="E28" i="11" s="1"/>
  <c r="C28" i="15"/>
  <c r="E28" i="15" s="1"/>
  <c r="C28" i="10"/>
  <c r="E28" i="10" s="1"/>
  <c r="C37" i="10"/>
  <c r="E37" i="10" s="1"/>
  <c r="C37" i="11"/>
  <c r="E37" i="11" s="1"/>
  <c r="C37" i="17"/>
  <c r="E37" i="17" s="1"/>
  <c r="C31" i="15"/>
  <c r="E31" i="15" s="1"/>
  <c r="C35" i="15"/>
  <c r="E35" i="15" s="1"/>
  <c r="C30" i="15"/>
  <c r="E30" i="15" s="1"/>
  <c r="C38" i="15"/>
  <c r="E38" i="15" s="1"/>
  <c r="C34" i="15"/>
  <c r="E34" i="15" s="1"/>
  <c r="C34" i="10"/>
  <c r="E34" i="10" s="1"/>
  <c r="C30" i="14"/>
  <c r="E30" i="14" s="1"/>
  <c r="C32" i="10"/>
  <c r="E32" i="10" s="1"/>
  <c r="C29" i="10"/>
  <c r="E29" i="10" s="1"/>
  <c r="C29" i="11"/>
  <c r="E29" i="11" s="1"/>
  <c r="C33" i="14"/>
  <c r="E33" i="14" s="1"/>
  <c r="C37" i="15"/>
  <c r="E37" i="15" s="1"/>
  <c r="C27" i="18"/>
  <c r="C28" i="18"/>
  <c r="E28" i="18" s="1"/>
  <c r="C36" i="18"/>
  <c r="E36" i="18" s="1"/>
  <c r="C32" i="18"/>
  <c r="E32" i="18" s="1"/>
  <c r="C28" i="17"/>
  <c r="E28" i="17" s="1"/>
  <c r="C32" i="17"/>
  <c r="E32" i="17" s="1"/>
  <c r="C36" i="17"/>
  <c r="E36" i="17" s="1"/>
  <c r="C35" i="17"/>
  <c r="E35" i="17" s="1"/>
  <c r="C31" i="17"/>
  <c r="E31" i="17" s="1"/>
  <c r="C27" i="17"/>
  <c r="C32" i="11"/>
  <c r="E32" i="11" s="1"/>
  <c r="C36" i="10"/>
  <c r="E36" i="10" s="1"/>
  <c r="C34" i="14"/>
  <c r="E34" i="14" s="1"/>
  <c r="C38" i="17"/>
  <c r="E38" i="17" s="1"/>
  <c r="C28" i="14"/>
  <c r="E28" i="14" s="1"/>
  <c r="C33" i="11"/>
  <c r="E33" i="11" s="1"/>
  <c r="C29" i="17"/>
  <c r="E29" i="17" s="1"/>
  <c r="C19" i="18"/>
  <c r="E6" i="18"/>
  <c r="E19" i="18" s="1"/>
  <c r="E19" i="17"/>
  <c r="C7" i="15"/>
  <c r="E7" i="15" s="1"/>
  <c r="C9" i="15"/>
  <c r="E9" i="15" s="1"/>
  <c r="C13" i="15"/>
  <c r="E13" i="15" s="1"/>
  <c r="C19" i="17"/>
  <c r="C16" i="15"/>
  <c r="E16" i="15" s="1"/>
  <c r="C8" i="15"/>
  <c r="E8" i="15" s="1"/>
  <c r="C10" i="15"/>
  <c r="E10" i="15" s="1"/>
  <c r="C11" i="15"/>
  <c r="E11" i="15" s="1"/>
  <c r="C14" i="15"/>
  <c r="E14" i="15" s="1"/>
  <c r="C17" i="15"/>
  <c r="E17" i="15" s="1"/>
  <c r="C6" i="15"/>
  <c r="C12" i="15"/>
  <c r="E12" i="15" s="1"/>
  <c r="T49" i="34" l="1"/>
  <c r="P63" i="34"/>
  <c r="P64" i="34" s="1"/>
  <c r="O49" i="34"/>
  <c r="O63" i="34" s="1"/>
  <c r="O64" i="34" s="1"/>
  <c r="T27" i="34"/>
  <c r="O27" i="34"/>
  <c r="O41" i="34" s="1"/>
  <c r="O42" i="34" s="1"/>
  <c r="P41" i="34"/>
  <c r="P42" i="34" s="1"/>
  <c r="M8" i="18"/>
  <c r="M12" i="18"/>
  <c r="M15" i="18"/>
  <c r="M13" i="18"/>
  <c r="M11" i="18"/>
  <c r="M16" i="18"/>
  <c r="M14" i="18"/>
  <c r="M17" i="18"/>
  <c r="N40" i="33"/>
  <c r="N41" i="33" s="1"/>
  <c r="T30" i="33"/>
  <c r="U30" i="33" s="1"/>
  <c r="T53" i="33"/>
  <c r="U53" i="33" s="1"/>
  <c r="T49" i="33"/>
  <c r="P62" i="33"/>
  <c r="P63" i="33" s="1"/>
  <c r="O49" i="33"/>
  <c r="O62" i="33" s="1"/>
  <c r="O63" i="33" s="1"/>
  <c r="T27" i="33"/>
  <c r="O27" i="33"/>
  <c r="O40" i="33" s="1"/>
  <c r="O41" i="33" s="1"/>
  <c r="P40" i="33"/>
  <c r="P41" i="33" s="1"/>
  <c r="T51" i="30"/>
  <c r="U51" i="30" s="1"/>
  <c r="O51" i="30"/>
  <c r="T29" i="30"/>
  <c r="U29" i="30" s="1"/>
  <c r="O29" i="30"/>
  <c r="O52" i="30"/>
  <c r="T52" i="30"/>
  <c r="U52" i="30" s="1"/>
  <c r="N40" i="30"/>
  <c r="N41" i="30" s="1"/>
  <c r="P27" i="30"/>
  <c r="O30" i="30"/>
  <c r="T30" i="30"/>
  <c r="U30" i="30" s="1"/>
  <c r="O31" i="30"/>
  <c r="T31" i="30"/>
  <c r="U31" i="30" s="1"/>
  <c r="O53" i="30"/>
  <c r="T53" i="30"/>
  <c r="U53" i="30" s="1"/>
  <c r="N62" i="30"/>
  <c r="N63" i="30" s="1"/>
  <c r="P49" i="30"/>
  <c r="T49" i="29"/>
  <c r="P62" i="29"/>
  <c r="P63" i="29" s="1"/>
  <c r="O49" i="29"/>
  <c r="O62" i="29" s="1"/>
  <c r="O63" i="29" s="1"/>
  <c r="T27" i="29"/>
  <c r="P40" i="29"/>
  <c r="P41" i="29" s="1"/>
  <c r="O40" i="29"/>
  <c r="O41" i="29" s="1"/>
  <c r="O57" i="28"/>
  <c r="M38" i="28"/>
  <c r="N38" i="28" s="1"/>
  <c r="P38" i="28" s="1"/>
  <c r="O38" i="28" s="1"/>
  <c r="M58" i="28"/>
  <c r="N58" i="28" s="1"/>
  <c r="P58" i="28" s="1"/>
  <c r="O58" i="28" s="1"/>
  <c r="M53" i="28"/>
  <c r="N53" i="28" s="1"/>
  <c r="P53" i="28" s="1"/>
  <c r="M52" i="28"/>
  <c r="N52" i="28" s="1"/>
  <c r="P52" i="28" s="1"/>
  <c r="M54" i="28"/>
  <c r="N54" i="28" s="1"/>
  <c r="P54" i="28" s="1"/>
  <c r="O54" i="28" s="1"/>
  <c r="M61" i="28"/>
  <c r="N61" i="28" s="1"/>
  <c r="P61" i="28" s="1"/>
  <c r="O61" i="28" s="1"/>
  <c r="M59" i="28"/>
  <c r="N59" i="28" s="1"/>
  <c r="P59" i="28" s="1"/>
  <c r="O59" i="28" s="1"/>
  <c r="M55" i="28"/>
  <c r="N55" i="28" s="1"/>
  <c r="P55" i="28" s="1"/>
  <c r="M50" i="28"/>
  <c r="N50" i="28" s="1"/>
  <c r="P50" i="28" s="1"/>
  <c r="O50" i="28" s="1"/>
  <c r="M60" i="28"/>
  <c r="N60" i="28" s="1"/>
  <c r="P60" i="28" s="1"/>
  <c r="O60" i="28" s="1"/>
  <c r="M56" i="28"/>
  <c r="N56" i="28" s="1"/>
  <c r="P56" i="28" s="1"/>
  <c r="M39" i="28"/>
  <c r="N39" i="28" s="1"/>
  <c r="P39" i="28" s="1"/>
  <c r="O39" i="28" s="1"/>
  <c r="M51" i="28"/>
  <c r="N51" i="28" s="1"/>
  <c r="P51" i="28" s="1"/>
  <c r="M49" i="28"/>
  <c r="N49" i="28" s="1"/>
  <c r="M34" i="28"/>
  <c r="N34" i="28" s="1"/>
  <c r="P34" i="28" s="1"/>
  <c r="N18" i="28"/>
  <c r="N19" i="28" s="1"/>
  <c r="M32" i="28"/>
  <c r="N32" i="28" s="1"/>
  <c r="P32" i="28" s="1"/>
  <c r="M31" i="28"/>
  <c r="N31" i="28" s="1"/>
  <c r="P31" i="28" s="1"/>
  <c r="M36" i="28"/>
  <c r="N36" i="28" s="1"/>
  <c r="P36" i="28" s="1"/>
  <c r="O36" i="28" s="1"/>
  <c r="M30" i="28"/>
  <c r="N30" i="28" s="1"/>
  <c r="P30" i="28" s="1"/>
  <c r="M29" i="28"/>
  <c r="N29" i="28" s="1"/>
  <c r="P29" i="28" s="1"/>
  <c r="M33" i="28"/>
  <c r="N33" i="28" s="1"/>
  <c r="P33" i="28" s="1"/>
  <c r="M37" i="28"/>
  <c r="N37" i="28" s="1"/>
  <c r="P37" i="28" s="1"/>
  <c r="M28" i="28"/>
  <c r="N28" i="28" s="1"/>
  <c r="P28" i="28" s="1"/>
  <c r="O28" i="28" s="1"/>
  <c r="M35" i="28"/>
  <c r="N35" i="28" s="1"/>
  <c r="P35" i="28" s="1"/>
  <c r="M6" i="17"/>
  <c r="M13" i="17"/>
  <c r="M12" i="17"/>
  <c r="M14" i="17"/>
  <c r="M15" i="17"/>
  <c r="S54" i="28"/>
  <c r="S32" i="28"/>
  <c r="P27" i="28"/>
  <c r="O27" i="28" s="1"/>
  <c r="M49" i="21"/>
  <c r="M61" i="21"/>
  <c r="M60" i="21"/>
  <c r="M56" i="21"/>
  <c r="M55" i="21"/>
  <c r="M53" i="21"/>
  <c r="M51" i="21"/>
  <c r="M50" i="21"/>
  <c r="M59" i="21"/>
  <c r="M62" i="21"/>
  <c r="M57" i="21"/>
  <c r="M58" i="21"/>
  <c r="M54" i="21"/>
  <c r="M52" i="21"/>
  <c r="M40" i="21"/>
  <c r="M35" i="21"/>
  <c r="M34" i="21"/>
  <c r="M33" i="21"/>
  <c r="M31" i="21"/>
  <c r="M27" i="21"/>
  <c r="M39" i="21"/>
  <c r="M38" i="21"/>
  <c r="M37" i="21"/>
  <c r="M36" i="21"/>
  <c r="M29" i="21"/>
  <c r="M28" i="21"/>
  <c r="M32" i="21"/>
  <c r="M30" i="21"/>
  <c r="M60" i="20"/>
  <c r="N60" i="20" s="1"/>
  <c r="P60" i="20" s="1"/>
  <c r="O60" i="20" s="1"/>
  <c r="M56" i="20"/>
  <c r="N56" i="20" s="1"/>
  <c r="P56" i="20" s="1"/>
  <c r="O56" i="20" s="1"/>
  <c r="M54" i="20"/>
  <c r="N54" i="20" s="1"/>
  <c r="P54" i="20" s="1"/>
  <c r="M52" i="20"/>
  <c r="N52" i="20" s="1"/>
  <c r="P52" i="20" s="1"/>
  <c r="M49" i="20"/>
  <c r="N49" i="20" s="1"/>
  <c r="M62" i="20"/>
  <c r="N62" i="20" s="1"/>
  <c r="P62" i="20" s="1"/>
  <c r="M61" i="20"/>
  <c r="N61" i="20" s="1"/>
  <c r="P61" i="20" s="1"/>
  <c r="O61" i="20" s="1"/>
  <c r="M57" i="20"/>
  <c r="N57" i="20" s="1"/>
  <c r="P57" i="20" s="1"/>
  <c r="M50" i="20"/>
  <c r="N50" i="20" s="1"/>
  <c r="P50" i="20" s="1"/>
  <c r="O50" i="20" s="1"/>
  <c r="M58" i="20"/>
  <c r="N58" i="20" s="1"/>
  <c r="P58" i="20" s="1"/>
  <c r="O58" i="20" s="1"/>
  <c r="M53" i="20"/>
  <c r="N53" i="20" s="1"/>
  <c r="P53" i="20" s="1"/>
  <c r="M51" i="20"/>
  <c r="N51" i="20" s="1"/>
  <c r="P51" i="20" s="1"/>
  <c r="M59" i="20"/>
  <c r="N59" i="20" s="1"/>
  <c r="P59" i="20" s="1"/>
  <c r="O59" i="20" s="1"/>
  <c r="M55" i="20"/>
  <c r="N55" i="20" s="1"/>
  <c r="P55" i="20" s="1"/>
  <c r="M39" i="20"/>
  <c r="M38" i="20"/>
  <c r="M37" i="20"/>
  <c r="M36" i="20"/>
  <c r="M32" i="20"/>
  <c r="M30" i="20"/>
  <c r="M27" i="20"/>
  <c r="M28" i="20"/>
  <c r="M40" i="20"/>
  <c r="M35" i="20"/>
  <c r="M31" i="20"/>
  <c r="M34" i="20"/>
  <c r="M29" i="20"/>
  <c r="M33" i="20"/>
  <c r="C63" i="11"/>
  <c r="E63" i="14"/>
  <c r="F63" i="14" s="1"/>
  <c r="M58" i="14" s="1"/>
  <c r="N58" i="14" s="1"/>
  <c r="P58" i="14" s="1"/>
  <c r="O58" i="14" s="1"/>
  <c r="E63" i="17"/>
  <c r="F63" i="17" s="1"/>
  <c r="E63" i="11"/>
  <c r="F63" i="11" s="1"/>
  <c r="E63" i="18"/>
  <c r="F63" i="18" s="1"/>
  <c r="C63" i="14"/>
  <c r="C63" i="10"/>
  <c r="E49" i="10"/>
  <c r="E63" i="10" s="1"/>
  <c r="F63" i="10" s="1"/>
  <c r="C63" i="17"/>
  <c r="C63" i="15"/>
  <c r="E49" i="15"/>
  <c r="E63" i="15" s="1"/>
  <c r="F63" i="15" s="1"/>
  <c r="M62" i="15" s="1"/>
  <c r="C63" i="18"/>
  <c r="E41" i="11"/>
  <c r="F41" i="11" s="1"/>
  <c r="E41" i="10"/>
  <c r="F41" i="10" s="1"/>
  <c r="E41" i="14"/>
  <c r="F41" i="14" s="1"/>
  <c r="M37" i="14" s="1"/>
  <c r="N37" i="14" s="1"/>
  <c r="P37" i="14" s="1"/>
  <c r="C41" i="14"/>
  <c r="E27" i="18"/>
  <c r="E41" i="18" s="1"/>
  <c r="F41" i="18" s="1"/>
  <c r="C41" i="18"/>
  <c r="C41" i="10"/>
  <c r="E27" i="17"/>
  <c r="E41" i="17" s="1"/>
  <c r="F41" i="17" s="1"/>
  <c r="C41" i="17"/>
  <c r="E6" i="15"/>
  <c r="E19" i="15" s="1"/>
  <c r="C19" i="15"/>
  <c r="C41" i="15"/>
  <c r="E27" i="15"/>
  <c r="E41" i="15" s="1"/>
  <c r="F41" i="15" s="1"/>
  <c r="M40" i="15" s="1"/>
  <c r="C41" i="11"/>
  <c r="M7" i="18"/>
  <c r="M9" i="18"/>
  <c r="M10" i="18"/>
  <c r="M6" i="18"/>
  <c r="M8" i="17"/>
  <c r="M10" i="17"/>
  <c r="M7" i="17"/>
  <c r="M11" i="17"/>
  <c r="M9" i="17"/>
  <c r="U27" i="34" l="1"/>
  <c r="V27" i="34" s="1"/>
  <c r="T32" i="34"/>
  <c r="T54" i="34"/>
  <c r="U49" i="34"/>
  <c r="V49" i="34" s="1"/>
  <c r="M39" i="18"/>
  <c r="N39" i="18" s="1"/>
  <c r="P39" i="18" s="1"/>
  <c r="O39" i="18" s="1"/>
  <c r="M40" i="18"/>
  <c r="N40" i="18" s="1"/>
  <c r="P40" i="18" s="1"/>
  <c r="O40" i="18" s="1"/>
  <c r="M62" i="17"/>
  <c r="N62" i="17" s="1"/>
  <c r="P62" i="17" s="1"/>
  <c r="O62" i="17" s="1"/>
  <c r="M63" i="17"/>
  <c r="N63" i="17" s="1"/>
  <c r="P63" i="17" s="1"/>
  <c r="O63" i="17" s="1"/>
  <c r="M64" i="17"/>
  <c r="N64" i="17" s="1"/>
  <c r="P64" i="17" s="1"/>
  <c r="O64" i="17" s="1"/>
  <c r="M40" i="17"/>
  <c r="N40" i="17" s="1"/>
  <c r="P40" i="17" s="1"/>
  <c r="O40" i="17" s="1"/>
  <c r="M41" i="17"/>
  <c r="N41" i="17" s="1"/>
  <c r="P41" i="17" s="1"/>
  <c r="O41" i="17" s="1"/>
  <c r="M42" i="17"/>
  <c r="N42" i="17" s="1"/>
  <c r="P42" i="17" s="1"/>
  <c r="O42" i="17" s="1"/>
  <c r="T32" i="33"/>
  <c r="U27" i="33"/>
  <c r="V27" i="33" s="1"/>
  <c r="T54" i="33"/>
  <c r="U49" i="33"/>
  <c r="V49" i="33" s="1"/>
  <c r="O37" i="14"/>
  <c r="T49" i="30"/>
  <c r="P62" i="30"/>
  <c r="P63" i="30" s="1"/>
  <c r="O49" i="30"/>
  <c r="O62" i="30" s="1"/>
  <c r="O63" i="30" s="1"/>
  <c r="T27" i="30"/>
  <c r="O27" i="30"/>
  <c r="O40" i="30" s="1"/>
  <c r="O41" i="30" s="1"/>
  <c r="P40" i="30"/>
  <c r="P41" i="30" s="1"/>
  <c r="T32" i="29"/>
  <c r="U27" i="29"/>
  <c r="V27" i="29" s="1"/>
  <c r="T54" i="29"/>
  <c r="U49" i="29"/>
  <c r="V49" i="29" s="1"/>
  <c r="T29" i="28"/>
  <c r="U29" i="28" s="1"/>
  <c r="O29" i="28"/>
  <c r="T51" i="28"/>
  <c r="U51" i="28" s="1"/>
  <c r="O51" i="28"/>
  <c r="O55" i="20"/>
  <c r="O35" i="28"/>
  <c r="T30" i="28"/>
  <c r="U30" i="28" s="1"/>
  <c r="O30" i="28"/>
  <c r="T51" i="20"/>
  <c r="O51" i="20"/>
  <c r="O57" i="20"/>
  <c r="T52" i="20"/>
  <c r="O52" i="20"/>
  <c r="O37" i="28"/>
  <c r="T31" i="28"/>
  <c r="U31" i="28" s="1"/>
  <c r="O31" i="28"/>
  <c r="O55" i="28"/>
  <c r="T52" i="28"/>
  <c r="U52" i="28" s="1"/>
  <c r="O52" i="28"/>
  <c r="T53" i="20"/>
  <c r="O53" i="20"/>
  <c r="O54" i="20"/>
  <c r="O33" i="28"/>
  <c r="O32" i="28"/>
  <c r="O34" i="28"/>
  <c r="O56" i="28"/>
  <c r="T53" i="28"/>
  <c r="U53" i="28" s="1"/>
  <c r="O53" i="28"/>
  <c r="P49" i="28"/>
  <c r="N62" i="28"/>
  <c r="T27" i="28"/>
  <c r="N40" i="28"/>
  <c r="N41" i="28" s="1"/>
  <c r="M9" i="15"/>
  <c r="M11" i="15"/>
  <c r="M10" i="15"/>
  <c r="M41" i="14"/>
  <c r="M42" i="14"/>
  <c r="P40" i="28"/>
  <c r="P41" i="28" s="1"/>
  <c r="N63" i="20"/>
  <c r="N64" i="20" s="1"/>
  <c r="P49" i="20"/>
  <c r="O49" i="20" s="1"/>
  <c r="M63" i="14"/>
  <c r="M64" i="14"/>
  <c r="M51" i="18"/>
  <c r="N51" i="18" s="1"/>
  <c r="P51" i="18" s="1"/>
  <c r="M55" i="18"/>
  <c r="N55" i="18" s="1"/>
  <c r="P55" i="18" s="1"/>
  <c r="M59" i="18"/>
  <c r="N59" i="18" s="1"/>
  <c r="P59" i="18" s="1"/>
  <c r="O59" i="18" s="1"/>
  <c r="M54" i="18"/>
  <c r="N54" i="18" s="1"/>
  <c r="P54" i="18" s="1"/>
  <c r="M52" i="18"/>
  <c r="N52" i="18" s="1"/>
  <c r="P52" i="18" s="1"/>
  <c r="M56" i="18"/>
  <c r="N56" i="18" s="1"/>
  <c r="P56" i="18" s="1"/>
  <c r="M60" i="18"/>
  <c r="N60" i="18" s="1"/>
  <c r="P60" i="18" s="1"/>
  <c r="O60" i="18" s="1"/>
  <c r="M50" i="18"/>
  <c r="N50" i="18" s="1"/>
  <c r="P50" i="18" s="1"/>
  <c r="O50" i="18" s="1"/>
  <c r="M53" i="18"/>
  <c r="N53" i="18" s="1"/>
  <c r="P53" i="18" s="1"/>
  <c r="M57" i="18"/>
  <c r="N57" i="18" s="1"/>
  <c r="P57" i="18" s="1"/>
  <c r="M61" i="18"/>
  <c r="N61" i="18" s="1"/>
  <c r="P61" i="18" s="1"/>
  <c r="O61" i="18" s="1"/>
  <c r="M58" i="18"/>
  <c r="N58" i="18" s="1"/>
  <c r="P58" i="18" s="1"/>
  <c r="M49" i="18"/>
  <c r="N49" i="18" s="1"/>
  <c r="M52" i="14"/>
  <c r="M56" i="14"/>
  <c r="M61" i="14"/>
  <c r="M53" i="14"/>
  <c r="M57" i="14"/>
  <c r="M62" i="14"/>
  <c r="M50" i="14"/>
  <c r="M54" i="14"/>
  <c r="M59" i="14"/>
  <c r="M51" i="14"/>
  <c r="M49" i="14"/>
  <c r="M55" i="14"/>
  <c r="M60" i="14"/>
  <c r="M51" i="10"/>
  <c r="M55" i="10"/>
  <c r="M59" i="10"/>
  <c r="M49" i="10"/>
  <c r="M54" i="10"/>
  <c r="M52" i="10"/>
  <c r="M56" i="10"/>
  <c r="M60" i="10"/>
  <c r="M50" i="10"/>
  <c r="M53" i="10"/>
  <c r="M57" i="10"/>
  <c r="M61" i="10"/>
  <c r="M58" i="10"/>
  <c r="M52" i="11"/>
  <c r="M56" i="11"/>
  <c r="M60" i="11"/>
  <c r="M53" i="11"/>
  <c r="M57" i="11"/>
  <c r="M61" i="11"/>
  <c r="M50" i="11"/>
  <c r="M54" i="11"/>
  <c r="M58" i="11"/>
  <c r="M51" i="11"/>
  <c r="M49" i="11"/>
  <c r="M55" i="11"/>
  <c r="M59" i="11"/>
  <c r="M52" i="15"/>
  <c r="M56" i="15"/>
  <c r="M60" i="15"/>
  <c r="M53" i="15"/>
  <c r="M57" i="15"/>
  <c r="M61" i="15"/>
  <c r="M50" i="15"/>
  <c r="M54" i="15"/>
  <c r="M58" i="15"/>
  <c r="M55" i="15"/>
  <c r="M59" i="15"/>
  <c r="M49" i="15"/>
  <c r="M51" i="15"/>
  <c r="M52" i="17"/>
  <c r="N52" i="17" s="1"/>
  <c r="P52" i="17" s="1"/>
  <c r="M53" i="17"/>
  <c r="N53" i="17" s="1"/>
  <c r="P53" i="17" s="1"/>
  <c r="M50" i="17"/>
  <c r="N50" i="17" s="1"/>
  <c r="P50" i="17" s="1"/>
  <c r="O50" i="17" s="1"/>
  <c r="M55" i="17"/>
  <c r="N55" i="17" s="1"/>
  <c r="P55" i="17" s="1"/>
  <c r="M59" i="17"/>
  <c r="N59" i="17" s="1"/>
  <c r="P59" i="17" s="1"/>
  <c r="M54" i="17"/>
  <c r="N54" i="17" s="1"/>
  <c r="P54" i="17" s="1"/>
  <c r="M56" i="17"/>
  <c r="N56" i="17" s="1"/>
  <c r="P56" i="17" s="1"/>
  <c r="M60" i="17"/>
  <c r="N60" i="17" s="1"/>
  <c r="P60" i="17" s="1"/>
  <c r="O60" i="17" s="1"/>
  <c r="M51" i="17"/>
  <c r="N51" i="17" s="1"/>
  <c r="P51" i="17" s="1"/>
  <c r="M57" i="17"/>
  <c r="N57" i="17" s="1"/>
  <c r="P57" i="17" s="1"/>
  <c r="M61" i="17"/>
  <c r="N61" i="17" s="1"/>
  <c r="P61" i="17" s="1"/>
  <c r="O61" i="17" s="1"/>
  <c r="M49" i="17"/>
  <c r="N49" i="17" s="1"/>
  <c r="M58" i="17"/>
  <c r="N58" i="17" s="1"/>
  <c r="P58" i="17" s="1"/>
  <c r="O58" i="17" s="1"/>
  <c r="M39" i="14"/>
  <c r="M40" i="14"/>
  <c r="M38" i="14"/>
  <c r="M37" i="15"/>
  <c r="M39" i="15"/>
  <c r="M38" i="15"/>
  <c r="M38" i="17"/>
  <c r="N38" i="17" s="1"/>
  <c r="P38" i="17" s="1"/>
  <c r="O38" i="17" s="1"/>
  <c r="M39" i="17"/>
  <c r="N39" i="17" s="1"/>
  <c r="P39" i="17" s="1"/>
  <c r="O39" i="17" s="1"/>
  <c r="M37" i="17"/>
  <c r="N37" i="17" s="1"/>
  <c r="P37" i="17" s="1"/>
  <c r="M38" i="18"/>
  <c r="N38" i="18" s="1"/>
  <c r="P38" i="18" s="1"/>
  <c r="O38" i="18" s="1"/>
  <c r="M37" i="18"/>
  <c r="N37" i="18" s="1"/>
  <c r="P37" i="18" s="1"/>
  <c r="M39" i="10"/>
  <c r="M37" i="10"/>
  <c r="M38" i="10"/>
  <c r="M37" i="11"/>
  <c r="M38" i="11"/>
  <c r="M39" i="11"/>
  <c r="M29" i="18"/>
  <c r="M33" i="18"/>
  <c r="N33" i="18" s="1"/>
  <c r="P33" i="18" s="1"/>
  <c r="M27" i="18"/>
  <c r="N27" i="18" s="1"/>
  <c r="M30" i="18"/>
  <c r="M34" i="18"/>
  <c r="N34" i="18" s="1"/>
  <c r="P34" i="18" s="1"/>
  <c r="M31" i="18"/>
  <c r="M35" i="18"/>
  <c r="N35" i="18" s="1"/>
  <c r="P35" i="18" s="1"/>
  <c r="M28" i="18"/>
  <c r="N28" i="18" s="1"/>
  <c r="M32" i="18"/>
  <c r="N32" i="18" s="1"/>
  <c r="P32" i="18" s="1"/>
  <c r="M36" i="18"/>
  <c r="N36" i="18" s="1"/>
  <c r="P36" i="18" s="1"/>
  <c r="O36" i="18" s="1"/>
  <c r="M34" i="17"/>
  <c r="N34" i="17" s="1"/>
  <c r="P34" i="17" s="1"/>
  <c r="M31" i="17"/>
  <c r="M35" i="17"/>
  <c r="N35" i="17" s="1"/>
  <c r="P35" i="17" s="1"/>
  <c r="M28" i="17"/>
  <c r="N28" i="17" s="1"/>
  <c r="M32" i="17"/>
  <c r="N32" i="17" s="1"/>
  <c r="P32" i="17" s="1"/>
  <c r="M36" i="17"/>
  <c r="N36" i="17" s="1"/>
  <c r="P36" i="17" s="1"/>
  <c r="O36" i="17" s="1"/>
  <c r="M30" i="17"/>
  <c r="M27" i="17"/>
  <c r="N27" i="17" s="1"/>
  <c r="M29" i="17"/>
  <c r="M33" i="17"/>
  <c r="N33" i="17" s="1"/>
  <c r="P33" i="17" s="1"/>
  <c r="M30" i="15"/>
  <c r="M34" i="15"/>
  <c r="M29" i="15"/>
  <c r="M31" i="15"/>
  <c r="M35" i="15"/>
  <c r="M27" i="15"/>
  <c r="M28" i="15"/>
  <c r="M32" i="15"/>
  <c r="M36" i="15"/>
  <c r="M33" i="15"/>
  <c r="M28" i="14"/>
  <c r="M32" i="14"/>
  <c r="M36" i="14"/>
  <c r="M27" i="14"/>
  <c r="M29" i="14"/>
  <c r="M33" i="14"/>
  <c r="M30" i="14"/>
  <c r="M34" i="14"/>
  <c r="M31" i="14"/>
  <c r="M35" i="14"/>
  <c r="M29" i="11"/>
  <c r="M33" i="11"/>
  <c r="M30" i="11"/>
  <c r="M34" i="11"/>
  <c r="M31" i="11"/>
  <c r="M35" i="11"/>
  <c r="M27" i="11"/>
  <c r="M28" i="11"/>
  <c r="M32" i="11"/>
  <c r="N32" i="11" s="1"/>
  <c r="M36" i="11"/>
  <c r="M29" i="10"/>
  <c r="M33" i="10"/>
  <c r="M30" i="10"/>
  <c r="M34" i="10"/>
  <c r="M31" i="10"/>
  <c r="M35" i="10"/>
  <c r="M28" i="10"/>
  <c r="M32" i="10"/>
  <c r="M36" i="10"/>
  <c r="M27" i="10"/>
  <c r="M7" i="15"/>
  <c r="M8" i="15"/>
  <c r="M6" i="15"/>
  <c r="O34" i="18" l="1"/>
  <c r="O54" i="17"/>
  <c r="O33" i="17"/>
  <c r="O37" i="17"/>
  <c r="O59" i="17"/>
  <c r="O57" i="18"/>
  <c r="O56" i="18"/>
  <c r="O55" i="18"/>
  <c r="O32" i="18"/>
  <c r="O32" i="17"/>
  <c r="O34" i="17"/>
  <c r="O35" i="18"/>
  <c r="O55" i="17"/>
  <c r="O35" i="17"/>
  <c r="O57" i="17"/>
  <c r="O33" i="18"/>
  <c r="O37" i="18"/>
  <c r="O56" i="17"/>
  <c r="O58" i="18"/>
  <c r="O54" i="18"/>
  <c r="T32" i="30"/>
  <c r="U27" i="30"/>
  <c r="V27" i="30" s="1"/>
  <c r="T54" i="30"/>
  <c r="U49" i="30"/>
  <c r="V49" i="30" s="1"/>
  <c r="O40" i="28"/>
  <c r="O41" i="28" s="1"/>
  <c r="O49" i="28"/>
  <c r="O62" i="28" s="1"/>
  <c r="O63" i="28" s="1"/>
  <c r="P62" i="28"/>
  <c r="P63" i="28" s="1"/>
  <c r="T53" i="18"/>
  <c r="O53" i="18"/>
  <c r="T52" i="18"/>
  <c r="O52" i="18"/>
  <c r="T51" i="18"/>
  <c r="O51" i="18"/>
  <c r="T53" i="17"/>
  <c r="O53" i="17"/>
  <c r="T51" i="17"/>
  <c r="O51" i="17"/>
  <c r="T52" i="17"/>
  <c r="O52" i="17"/>
  <c r="T49" i="20"/>
  <c r="N63" i="28"/>
  <c r="T49" i="28"/>
  <c r="T32" i="28"/>
  <c r="U27" i="28"/>
  <c r="V27" i="28" s="1"/>
  <c r="N29" i="17"/>
  <c r="P29" i="17" s="1"/>
  <c r="N31" i="18"/>
  <c r="P31" i="18" s="1"/>
  <c r="N29" i="18"/>
  <c r="P29" i="18" s="1"/>
  <c r="N30" i="18"/>
  <c r="P30" i="18" s="1"/>
  <c r="N30" i="17"/>
  <c r="P30" i="17" s="1"/>
  <c r="N31" i="17"/>
  <c r="P31" i="17" s="1"/>
  <c r="N62" i="18"/>
  <c r="N65" i="17"/>
  <c r="P28" i="18"/>
  <c r="O28" i="18" s="1"/>
  <c r="P28" i="17"/>
  <c r="O28" i="17" s="1"/>
  <c r="P49" i="18"/>
  <c r="P27" i="18"/>
  <c r="P49" i="17"/>
  <c r="P27" i="17"/>
  <c r="C17" i="14"/>
  <c r="E17" i="14" s="1"/>
  <c r="C18" i="14"/>
  <c r="E18" i="14" s="1"/>
  <c r="C16" i="14"/>
  <c r="E16" i="14" s="1"/>
  <c r="C15" i="14"/>
  <c r="E15" i="14" s="1"/>
  <c r="C14" i="14"/>
  <c r="E14" i="14" s="1"/>
  <c r="C12" i="14"/>
  <c r="E12" i="14" s="1"/>
  <c r="C11" i="14"/>
  <c r="E11" i="14" s="1"/>
  <c r="C10" i="14"/>
  <c r="E10" i="14" s="1"/>
  <c r="C9" i="14"/>
  <c r="E9" i="14" s="1"/>
  <c r="C8" i="14"/>
  <c r="E8" i="14" s="1"/>
  <c r="C6" i="14"/>
  <c r="E6" i="14" s="1"/>
  <c r="P41" i="18" l="1"/>
  <c r="N41" i="18"/>
  <c r="N42" i="18" s="1"/>
  <c r="T31" i="18"/>
  <c r="O31" i="18"/>
  <c r="O27" i="18"/>
  <c r="T30" i="18"/>
  <c r="O30" i="18"/>
  <c r="P62" i="18"/>
  <c r="P63" i="18" s="1"/>
  <c r="O49" i="18"/>
  <c r="O62" i="18" s="1"/>
  <c r="O63" i="18" s="1"/>
  <c r="T29" i="18"/>
  <c r="O29" i="18"/>
  <c r="P65" i="17"/>
  <c r="P66" i="17" s="1"/>
  <c r="O49" i="17"/>
  <c r="O65" i="17" s="1"/>
  <c r="O66" i="17" s="1"/>
  <c r="T30" i="17"/>
  <c r="O30" i="17"/>
  <c r="T29" i="17"/>
  <c r="O29" i="17"/>
  <c r="T31" i="17"/>
  <c r="O31" i="17"/>
  <c r="N43" i="17"/>
  <c r="N44" i="17" s="1"/>
  <c r="P43" i="17"/>
  <c r="O27" i="17"/>
  <c r="T54" i="28"/>
  <c r="U49" i="28"/>
  <c r="V49" i="28" s="1"/>
  <c r="T54" i="20"/>
  <c r="N66" i="17"/>
  <c r="N63" i="18"/>
  <c r="T27" i="18"/>
  <c r="T27" i="17"/>
  <c r="T49" i="17"/>
  <c r="T49" i="18"/>
  <c r="C7" i="14"/>
  <c r="E7" i="14" s="1"/>
  <c r="C13" i="14"/>
  <c r="E13" i="14" s="1"/>
  <c r="O41" i="18" l="1"/>
  <c r="O42" i="18" s="1"/>
  <c r="O43" i="17"/>
  <c r="O44" i="17" s="1"/>
  <c r="P42" i="18"/>
  <c r="T32" i="18"/>
  <c r="T32" i="17"/>
  <c r="T54" i="17"/>
  <c r="T54" i="18"/>
  <c r="E19" i="14"/>
  <c r="M11" i="14" s="1"/>
  <c r="C19" i="14"/>
  <c r="P44" i="17" l="1"/>
  <c r="M8" i="14"/>
  <c r="M7" i="14"/>
  <c r="M9" i="14"/>
  <c r="M10" i="14"/>
  <c r="M6" i="14"/>
  <c r="B19" i="11" l="1"/>
  <c r="C13" i="11" s="1"/>
  <c r="E13" i="11" s="1"/>
  <c r="C18" i="11"/>
  <c r="E18" i="11" s="1"/>
  <c r="C14" i="11" l="1"/>
  <c r="E14" i="11" s="1"/>
  <c r="C7" i="11"/>
  <c r="E7" i="11" s="1"/>
  <c r="C8" i="11"/>
  <c r="E8" i="11" s="1"/>
  <c r="C12" i="11"/>
  <c r="E12" i="11" s="1"/>
  <c r="C16" i="11"/>
  <c r="E16" i="11" s="1"/>
  <c r="C17" i="11"/>
  <c r="E17" i="11" s="1"/>
  <c r="C6" i="11"/>
  <c r="C9" i="11"/>
  <c r="E9" i="11" s="1"/>
  <c r="C10" i="11"/>
  <c r="E10" i="11" s="1"/>
  <c r="C11" i="11"/>
  <c r="E11" i="11" s="1"/>
  <c r="C15" i="11"/>
  <c r="E15" i="11" s="1"/>
  <c r="E6" i="11" l="1"/>
  <c r="E19" i="11" s="1"/>
  <c r="C19" i="11"/>
  <c r="M9" i="11" l="1"/>
  <c r="M8" i="11"/>
  <c r="M6" i="11"/>
  <c r="M7" i="11"/>
  <c r="B19" i="10" l="1"/>
  <c r="C16" i="10" s="1"/>
  <c r="E16" i="10" s="1"/>
  <c r="C18" i="10"/>
  <c r="E18" i="10" s="1"/>
  <c r="C8" i="10" l="1"/>
  <c r="E8" i="10" s="1"/>
  <c r="C15" i="10"/>
  <c r="E15" i="10" s="1"/>
  <c r="C17" i="10"/>
  <c r="E17" i="10" s="1"/>
  <c r="C6" i="10"/>
  <c r="E6" i="10" s="1"/>
  <c r="C9" i="10"/>
  <c r="E9" i="10" s="1"/>
  <c r="C12" i="10"/>
  <c r="E12" i="10" s="1"/>
  <c r="C7" i="10"/>
  <c r="E7" i="10" s="1"/>
  <c r="C10" i="10"/>
  <c r="E10" i="10" s="1"/>
  <c r="C13" i="10"/>
  <c r="E13" i="10" s="1"/>
  <c r="C11" i="10"/>
  <c r="E11" i="10" s="1"/>
  <c r="C14" i="10"/>
  <c r="E14" i="10" s="1"/>
  <c r="E19" i="10" l="1"/>
  <c r="M7" i="10" s="1"/>
  <c r="C19" i="10"/>
  <c r="M6" i="10" l="1"/>
  <c r="N17" i="11" l="1"/>
  <c r="N17" i="17"/>
  <c r="N11" i="11"/>
  <c r="N15" i="11"/>
  <c r="N15" i="15"/>
  <c r="N15" i="17"/>
  <c r="N15" i="18"/>
  <c r="N17" i="15"/>
  <c r="N13" i="11"/>
  <c r="N13" i="17"/>
  <c r="N16" i="17"/>
  <c r="N10" i="11"/>
  <c r="N14" i="17"/>
  <c r="N16" i="15"/>
  <c r="N16" i="18"/>
  <c r="N12" i="11"/>
  <c r="N12" i="15"/>
  <c r="N12" i="17"/>
  <c r="N12" i="18"/>
  <c r="N17" i="18"/>
  <c r="N13" i="15"/>
  <c r="N13" i="18"/>
  <c r="N14" i="15"/>
  <c r="N16" i="11"/>
  <c r="N14" i="11"/>
  <c r="N14" i="18"/>
  <c r="N6" i="17"/>
  <c r="N8" i="18"/>
  <c r="N9" i="17"/>
  <c r="N7" i="17"/>
  <c r="N11" i="17"/>
  <c r="N9" i="18"/>
  <c r="N8" i="17"/>
  <c r="N11" i="18"/>
  <c r="N9" i="15"/>
  <c r="N10" i="17"/>
  <c r="N10" i="18"/>
  <c r="N6" i="18"/>
  <c r="N7" i="18"/>
  <c r="N8" i="15"/>
  <c r="N6" i="15"/>
  <c r="N11" i="15"/>
  <c r="N7" i="15"/>
  <c r="N10" i="15"/>
  <c r="N6" i="11"/>
  <c r="N8" i="11"/>
  <c r="N7" i="11"/>
  <c r="N9" i="11"/>
  <c r="U52" i="20" l="1"/>
  <c r="U30" i="18"/>
  <c r="U30" i="17"/>
  <c r="U52" i="18"/>
  <c r="U52" i="17"/>
  <c r="N18" i="11"/>
  <c r="N19" i="11" s="1"/>
  <c r="N18" i="18"/>
  <c r="N19" i="18" s="1"/>
  <c r="U53" i="20"/>
  <c r="U31" i="18"/>
  <c r="U53" i="17"/>
  <c r="U53" i="18"/>
  <c r="U31" i="17"/>
  <c r="U51" i="20"/>
  <c r="U29" i="18"/>
  <c r="U51" i="17"/>
  <c r="U51" i="18"/>
  <c r="U29" i="17"/>
  <c r="N18" i="17"/>
  <c r="N19" i="17" s="1"/>
  <c r="N18" i="15"/>
  <c r="N19" i="15" s="1"/>
  <c r="S54" i="14" l="1"/>
  <c r="S32" i="10"/>
  <c r="U49" i="18"/>
  <c r="S54" i="18"/>
  <c r="S54" i="15"/>
  <c r="S54" i="11"/>
  <c r="S54" i="17"/>
  <c r="U49" i="17"/>
  <c r="S32" i="20"/>
  <c r="S32" i="21"/>
  <c r="U27" i="18"/>
  <c r="S32" i="18"/>
  <c r="U27" i="17"/>
  <c r="S32" i="17"/>
  <c r="S32" i="14"/>
  <c r="S32" i="11"/>
  <c r="S54" i="10"/>
  <c r="S32" i="15"/>
  <c r="S54" i="20"/>
  <c r="U49" i="20"/>
  <c r="S54" i="21"/>
  <c r="V49" i="20" l="1"/>
  <c r="V27" i="17"/>
  <c r="V49" i="18"/>
  <c r="V27" i="18"/>
  <c r="V49" i="17"/>
  <c r="N41" i="14" l="1"/>
  <c r="P41" i="14" s="1"/>
  <c r="O41" i="14" s="1"/>
  <c r="N42" i="14"/>
  <c r="P42" i="14" s="1"/>
  <c r="O42" i="14" s="1"/>
  <c r="N37" i="21"/>
  <c r="P37" i="21" s="1"/>
  <c r="N38" i="20"/>
  <c r="P38" i="20" s="1"/>
  <c r="O38" i="20" s="1"/>
  <c r="N33" i="21"/>
  <c r="P33" i="21" s="1"/>
  <c r="N31" i="21"/>
  <c r="P31" i="21" s="1"/>
  <c r="N40" i="20"/>
  <c r="P40" i="20" s="1"/>
  <c r="O40" i="20" s="1"/>
  <c r="N39" i="21"/>
  <c r="P39" i="21" s="1"/>
  <c r="O39" i="21" s="1"/>
  <c r="N40" i="15"/>
  <c r="P40" i="15" s="1"/>
  <c r="O40" i="15" s="1"/>
  <c r="N30" i="21"/>
  <c r="P30" i="21" s="1"/>
  <c r="N37" i="20"/>
  <c r="P37" i="20" s="1"/>
  <c r="N39" i="20"/>
  <c r="P39" i="20" s="1"/>
  <c r="O39" i="20" s="1"/>
  <c r="N28" i="20"/>
  <c r="P28" i="20" s="1"/>
  <c r="O28" i="20" s="1"/>
  <c r="N33" i="20"/>
  <c r="P33" i="20" s="1"/>
  <c r="N32" i="20"/>
  <c r="P32" i="20" s="1"/>
  <c r="N34" i="21"/>
  <c r="P34" i="21" s="1"/>
  <c r="O34" i="21" s="1"/>
  <c r="N40" i="21"/>
  <c r="P40" i="21" s="1"/>
  <c r="O40" i="21" s="1"/>
  <c r="N34" i="20"/>
  <c r="P34" i="20" s="1"/>
  <c r="O34" i="20" s="1"/>
  <c r="N36" i="21"/>
  <c r="P36" i="21" s="1"/>
  <c r="O36" i="21" s="1"/>
  <c r="N35" i="20"/>
  <c r="P35" i="20" s="1"/>
  <c r="N28" i="21"/>
  <c r="P28" i="21" s="1"/>
  <c r="O28" i="21" s="1"/>
  <c r="N27" i="20"/>
  <c r="N27" i="21"/>
  <c r="N29" i="21"/>
  <c r="P29" i="21" s="1"/>
  <c r="N36" i="20"/>
  <c r="P36" i="20" s="1"/>
  <c r="O36" i="20" s="1"/>
  <c r="N32" i="21"/>
  <c r="P32" i="21" s="1"/>
  <c r="N35" i="21"/>
  <c r="P35" i="21" s="1"/>
  <c r="N29" i="20"/>
  <c r="P29" i="20" s="1"/>
  <c r="N30" i="20"/>
  <c r="P30" i="20" s="1"/>
  <c r="N31" i="20"/>
  <c r="P31" i="20" s="1"/>
  <c r="N38" i="21"/>
  <c r="P38" i="21" s="1"/>
  <c r="O38" i="21" s="1"/>
  <c r="N35" i="15"/>
  <c r="P35" i="15" s="1"/>
  <c r="N38" i="15"/>
  <c r="P38" i="15" s="1"/>
  <c r="O38" i="15" s="1"/>
  <c r="N27" i="15"/>
  <c r="N31" i="15"/>
  <c r="P31" i="15" s="1"/>
  <c r="N37" i="15"/>
  <c r="P37" i="15" s="1"/>
  <c r="N36" i="15"/>
  <c r="P36" i="15" s="1"/>
  <c r="O36" i="15" s="1"/>
  <c r="N33" i="15"/>
  <c r="P33" i="15" s="1"/>
  <c r="N39" i="15"/>
  <c r="P39" i="15" s="1"/>
  <c r="N34" i="15"/>
  <c r="P34" i="15" s="1"/>
  <c r="O34" i="15" s="1"/>
  <c r="N30" i="15"/>
  <c r="P30" i="15" s="1"/>
  <c r="N28" i="15"/>
  <c r="P28" i="15" s="1"/>
  <c r="O28" i="15" s="1"/>
  <c r="N32" i="15"/>
  <c r="P32" i="15" s="1"/>
  <c r="N29" i="15"/>
  <c r="P29" i="15" s="1"/>
  <c r="N15" i="21"/>
  <c r="N13" i="20"/>
  <c r="N14" i="21"/>
  <c r="N13" i="21"/>
  <c r="N17" i="21"/>
  <c r="N17" i="20"/>
  <c r="N16" i="20"/>
  <c r="N15" i="20"/>
  <c r="N16" i="21"/>
  <c r="N14" i="20"/>
  <c r="N17" i="14"/>
  <c r="N15" i="14"/>
  <c r="N13" i="14"/>
  <c r="N12" i="14"/>
  <c r="N16" i="14"/>
  <c r="N14" i="14"/>
  <c r="N11" i="20"/>
  <c r="N6" i="20"/>
  <c r="N10" i="20"/>
  <c r="N9" i="20"/>
  <c r="N8" i="20"/>
  <c r="N12" i="20"/>
  <c r="N7" i="20"/>
  <c r="N6" i="21"/>
  <c r="N10" i="21"/>
  <c r="N12" i="21"/>
  <c r="N9" i="21"/>
  <c r="N11" i="21"/>
  <c r="N8" i="21"/>
  <c r="N7" i="21"/>
  <c r="N11" i="14"/>
  <c r="N8" i="14"/>
  <c r="N7" i="14"/>
  <c r="N10" i="14"/>
  <c r="N9" i="14"/>
  <c r="N6" i="14"/>
  <c r="N61" i="21"/>
  <c r="P61" i="21" s="1"/>
  <c r="O61" i="21" s="1"/>
  <c r="N55" i="21"/>
  <c r="P55" i="21" s="1"/>
  <c r="N58" i="21"/>
  <c r="P58" i="21" s="1"/>
  <c r="O58" i="21" s="1"/>
  <c r="N62" i="21"/>
  <c r="P62" i="21" s="1"/>
  <c r="N56" i="21"/>
  <c r="P56" i="21" s="1"/>
  <c r="O56" i="21" s="1"/>
  <c r="N57" i="21"/>
  <c r="P57" i="21" s="1"/>
  <c r="N52" i="21"/>
  <c r="P52" i="21" s="1"/>
  <c r="N51" i="21"/>
  <c r="P51" i="21" s="1"/>
  <c r="O51" i="21" s="1"/>
  <c r="N49" i="21"/>
  <c r="N50" i="21"/>
  <c r="P50" i="21" s="1"/>
  <c r="O50" i="21" s="1"/>
  <c r="N60" i="21"/>
  <c r="P60" i="21" s="1"/>
  <c r="O60" i="21" s="1"/>
  <c r="N54" i="21"/>
  <c r="P54" i="21" s="1"/>
  <c r="N53" i="21"/>
  <c r="P53" i="21" s="1"/>
  <c r="N59" i="21"/>
  <c r="P59" i="21" s="1"/>
  <c r="O59" i="21" s="1"/>
  <c r="N9" i="10"/>
  <c r="N13" i="10"/>
  <c r="N11" i="10"/>
  <c r="N16" i="10"/>
  <c r="N10" i="10"/>
  <c r="N14" i="10"/>
  <c r="N17" i="10"/>
  <c r="N15" i="10"/>
  <c r="N8" i="10"/>
  <c r="N12" i="10"/>
  <c r="N61" i="11"/>
  <c r="P61" i="11" s="1"/>
  <c r="O61" i="11" s="1"/>
  <c r="N29" i="10"/>
  <c r="P29" i="10" s="1"/>
  <c r="N35" i="11"/>
  <c r="P35" i="11" s="1"/>
  <c r="N55" i="11"/>
  <c r="P55" i="11" s="1"/>
  <c r="N59" i="11"/>
  <c r="P59" i="11" s="1"/>
  <c r="O59" i="11" s="1"/>
  <c r="N36" i="11"/>
  <c r="P36" i="11" s="1"/>
  <c r="O36" i="11" s="1"/>
  <c r="N33" i="10"/>
  <c r="P33" i="10" s="1"/>
  <c r="N49" i="11"/>
  <c r="N29" i="11"/>
  <c r="P29" i="11" s="1"/>
  <c r="N32" i="10"/>
  <c r="P32" i="10" s="1"/>
  <c r="N36" i="10"/>
  <c r="P36" i="10" s="1"/>
  <c r="O36" i="10" s="1"/>
  <c r="N34" i="10"/>
  <c r="P34" i="10" s="1"/>
  <c r="N51" i="11"/>
  <c r="P51" i="11" s="1"/>
  <c r="N28" i="10"/>
  <c r="P28" i="10" s="1"/>
  <c r="O28" i="10" s="1"/>
  <c r="N28" i="11"/>
  <c r="P28" i="11" s="1"/>
  <c r="O28" i="11" s="1"/>
  <c r="N39" i="10"/>
  <c r="P39" i="10" s="1"/>
  <c r="O39" i="10" s="1"/>
  <c r="N58" i="11"/>
  <c r="P58" i="11" s="1"/>
  <c r="O58" i="11" s="1"/>
  <c r="N38" i="11"/>
  <c r="P38" i="11" s="1"/>
  <c r="O38" i="11" s="1"/>
  <c r="N54" i="11"/>
  <c r="P54" i="11" s="1"/>
  <c r="N57" i="11"/>
  <c r="P57" i="11" s="1"/>
  <c r="N33" i="11"/>
  <c r="P33" i="11" s="1"/>
  <c r="P32" i="11"/>
  <c r="N37" i="10"/>
  <c r="P37" i="10" s="1"/>
  <c r="O37" i="10" s="1"/>
  <c r="N50" i="11"/>
  <c r="P50" i="11" s="1"/>
  <c r="O50" i="11" s="1"/>
  <c r="N31" i="10"/>
  <c r="P31" i="10" s="1"/>
  <c r="N31" i="11"/>
  <c r="P31" i="11" s="1"/>
  <c r="N27" i="10"/>
  <c r="N35" i="10"/>
  <c r="P35" i="10" s="1"/>
  <c r="N56" i="11"/>
  <c r="P56" i="11" s="1"/>
  <c r="O56" i="11" s="1"/>
  <c r="N27" i="11"/>
  <c r="N34" i="11"/>
  <c r="P34" i="11" s="1"/>
  <c r="O34" i="11" s="1"/>
  <c r="N52" i="11"/>
  <c r="P52" i="11" s="1"/>
  <c r="N53" i="11"/>
  <c r="P53" i="11" s="1"/>
  <c r="N30" i="11"/>
  <c r="P30" i="11" s="1"/>
  <c r="N39" i="11"/>
  <c r="P39" i="11" s="1"/>
  <c r="O39" i="11" s="1"/>
  <c r="N60" i="11"/>
  <c r="P60" i="11" s="1"/>
  <c r="O60" i="11" s="1"/>
  <c r="N38" i="10"/>
  <c r="P38" i="10" s="1"/>
  <c r="O38" i="10" s="1"/>
  <c r="N37" i="11"/>
  <c r="P37" i="11" s="1"/>
  <c r="O37" i="11" s="1"/>
  <c r="N30" i="10"/>
  <c r="P30" i="10" s="1"/>
  <c r="N7" i="10"/>
  <c r="N6" i="10"/>
  <c r="N59" i="10"/>
  <c r="P59" i="10" s="1"/>
  <c r="O59" i="10" s="1"/>
  <c r="N50" i="10"/>
  <c r="P50" i="10" s="1"/>
  <c r="O50" i="10" s="1"/>
  <c r="N60" i="10"/>
  <c r="P60" i="10" s="1"/>
  <c r="O60" i="10" s="1"/>
  <c r="N58" i="10"/>
  <c r="P58" i="10" s="1"/>
  <c r="O58" i="10" s="1"/>
  <c r="N55" i="10"/>
  <c r="P55" i="10" s="1"/>
  <c r="N56" i="10"/>
  <c r="P56" i="10" s="1"/>
  <c r="N54" i="10"/>
  <c r="P54" i="10" s="1"/>
  <c r="O54" i="10" s="1"/>
  <c r="N49" i="10"/>
  <c r="P49" i="10" s="1"/>
  <c r="N57" i="10"/>
  <c r="P57" i="10" s="1"/>
  <c r="N51" i="10"/>
  <c r="P51" i="10" s="1"/>
  <c r="O51" i="10" s="1"/>
  <c r="N53" i="10"/>
  <c r="P53" i="10" s="1"/>
  <c r="N52" i="10"/>
  <c r="P52" i="10" s="1"/>
  <c r="N61" i="10"/>
  <c r="P61" i="10" s="1"/>
  <c r="O61" i="10" s="1"/>
  <c r="N62" i="15"/>
  <c r="P62" i="15" s="1"/>
  <c r="N52" i="15"/>
  <c r="P52" i="15" s="1"/>
  <c r="N49" i="15"/>
  <c r="N57" i="14"/>
  <c r="P57" i="14" s="1"/>
  <c r="N57" i="15"/>
  <c r="P57" i="15" s="1"/>
  <c r="N50" i="15"/>
  <c r="P50" i="15" s="1"/>
  <c r="O50" i="15" s="1"/>
  <c r="N58" i="15"/>
  <c r="P58" i="15" s="1"/>
  <c r="O58" i="15" s="1"/>
  <c r="N55" i="15"/>
  <c r="P55" i="15" s="1"/>
  <c r="N61" i="14"/>
  <c r="P61" i="14" s="1"/>
  <c r="O61" i="14" s="1"/>
  <c r="N62" i="14"/>
  <c r="P62" i="14" s="1"/>
  <c r="N49" i="14"/>
  <c r="N64" i="14"/>
  <c r="P64" i="14" s="1"/>
  <c r="O64" i="14" s="1"/>
  <c r="N59" i="15"/>
  <c r="P59" i="15" s="1"/>
  <c r="O59" i="15" s="1"/>
  <c r="N54" i="15"/>
  <c r="P54" i="15" s="1"/>
  <c r="N52" i="14"/>
  <c r="P52" i="14" s="1"/>
  <c r="N60" i="15"/>
  <c r="P60" i="15" s="1"/>
  <c r="O60" i="15" s="1"/>
  <c r="N55" i="14"/>
  <c r="P55" i="14" s="1"/>
  <c r="N61" i="15"/>
  <c r="P61" i="15" s="1"/>
  <c r="O61" i="15" s="1"/>
  <c r="N56" i="15"/>
  <c r="P56" i="15" s="1"/>
  <c r="O56" i="15" s="1"/>
  <c r="N56" i="14"/>
  <c r="P56" i="14" s="1"/>
  <c r="O56" i="14" s="1"/>
  <c r="N50" i="14"/>
  <c r="P50" i="14" s="1"/>
  <c r="O50" i="14" s="1"/>
  <c r="N51" i="14"/>
  <c r="P51" i="14" s="1"/>
  <c r="N53" i="15"/>
  <c r="P53" i="15" s="1"/>
  <c r="N60" i="14"/>
  <c r="P60" i="14" s="1"/>
  <c r="O60" i="14" s="1"/>
  <c r="N63" i="14"/>
  <c r="P63" i="14" s="1"/>
  <c r="O63" i="14" s="1"/>
  <c r="N54" i="14"/>
  <c r="P54" i="14" s="1"/>
  <c r="N59" i="14"/>
  <c r="P59" i="14" s="1"/>
  <c r="O59" i="14" s="1"/>
  <c r="N51" i="15"/>
  <c r="P51" i="15" s="1"/>
  <c r="N53" i="14"/>
  <c r="P53" i="14" s="1"/>
  <c r="N31" i="14"/>
  <c r="P31" i="14" s="1"/>
  <c r="N35" i="14"/>
  <c r="P35" i="14" s="1"/>
  <c r="N40" i="14"/>
  <c r="P40" i="14" s="1"/>
  <c r="O40" i="14" s="1"/>
  <c r="N27" i="14"/>
  <c r="N28" i="14"/>
  <c r="P28" i="14" s="1"/>
  <c r="O28" i="14" s="1"/>
  <c r="N32" i="14"/>
  <c r="P32" i="14" s="1"/>
  <c r="O32" i="14" s="1"/>
  <c r="N36" i="14"/>
  <c r="P36" i="14" s="1"/>
  <c r="O36" i="14" s="1"/>
  <c r="N29" i="14"/>
  <c r="P29" i="14" s="1"/>
  <c r="N33" i="14"/>
  <c r="P33" i="14" s="1"/>
  <c r="N38" i="14"/>
  <c r="N30" i="14"/>
  <c r="P30" i="14" s="1"/>
  <c r="N34" i="14"/>
  <c r="P34" i="14" s="1"/>
  <c r="O34" i="14" s="1"/>
  <c r="N39" i="14"/>
  <c r="P39" i="14" s="1"/>
  <c r="O39" i="14" s="1"/>
  <c r="O35" i="21" l="1"/>
  <c r="O37" i="21"/>
  <c r="O35" i="14"/>
  <c r="N65" i="14"/>
  <c r="N66" i="14" s="1"/>
  <c r="O33" i="15"/>
  <c r="O35" i="15"/>
  <c r="O33" i="14"/>
  <c r="O37" i="20"/>
  <c r="O35" i="20"/>
  <c r="T53" i="14"/>
  <c r="U53" i="14" s="1"/>
  <c r="O53" i="14"/>
  <c r="O55" i="14"/>
  <c r="O57" i="15"/>
  <c r="T52" i="11"/>
  <c r="U52" i="11" s="1"/>
  <c r="O52" i="11"/>
  <c r="O54" i="21"/>
  <c r="O37" i="15"/>
  <c r="T29" i="21"/>
  <c r="U29" i="21" s="1"/>
  <c r="O29" i="21"/>
  <c r="T30" i="14"/>
  <c r="U30" i="14" s="1"/>
  <c r="O30" i="14"/>
  <c r="T51" i="15"/>
  <c r="U51" i="15" s="1"/>
  <c r="O51" i="15"/>
  <c r="T30" i="10"/>
  <c r="U30" i="10" s="1"/>
  <c r="O30" i="10"/>
  <c r="T29" i="14"/>
  <c r="U29" i="14" s="1"/>
  <c r="O29" i="14"/>
  <c r="O34" i="10"/>
  <c r="T29" i="20"/>
  <c r="U29" i="20" s="1"/>
  <c r="O29" i="20"/>
  <c r="O57" i="14"/>
  <c r="O57" i="10"/>
  <c r="O54" i="11"/>
  <c r="O35" i="11"/>
  <c r="T52" i="21"/>
  <c r="U52" i="21" s="1"/>
  <c r="O52" i="21"/>
  <c r="O32" i="15"/>
  <c r="O32" i="20"/>
  <c r="O32" i="10"/>
  <c r="T29" i="10"/>
  <c r="U29" i="10" s="1"/>
  <c r="O29" i="10"/>
  <c r="O55" i="21"/>
  <c r="T31" i="20"/>
  <c r="U31" i="20" s="1"/>
  <c r="O31" i="20"/>
  <c r="O32" i="21"/>
  <c r="O33" i="20"/>
  <c r="T30" i="21"/>
  <c r="U30" i="21" s="1"/>
  <c r="O30" i="21"/>
  <c r="T31" i="21"/>
  <c r="U31" i="21" s="1"/>
  <c r="O31" i="21"/>
  <c r="O35" i="10"/>
  <c r="O57" i="11"/>
  <c r="O55" i="11"/>
  <c r="T29" i="15"/>
  <c r="U29" i="15" s="1"/>
  <c r="O29" i="15"/>
  <c r="O55" i="15"/>
  <c r="O33" i="10"/>
  <c r="O39" i="15"/>
  <c r="T31" i="15"/>
  <c r="U31" i="15" s="1"/>
  <c r="O31" i="15"/>
  <c r="T53" i="15"/>
  <c r="U53" i="15" s="1"/>
  <c r="O53" i="15"/>
  <c r="T52" i="14"/>
  <c r="U52" i="14" s="1"/>
  <c r="O52" i="14"/>
  <c r="T53" i="10"/>
  <c r="U53" i="10" s="1"/>
  <c r="O53" i="10"/>
  <c r="O55" i="10"/>
  <c r="T30" i="11"/>
  <c r="U30" i="11" s="1"/>
  <c r="O30" i="11"/>
  <c r="T31" i="11"/>
  <c r="U31" i="11" s="1"/>
  <c r="O31" i="11"/>
  <c r="O32" i="11"/>
  <c r="O57" i="21"/>
  <c r="T31" i="14"/>
  <c r="U31" i="14" s="1"/>
  <c r="O31" i="14"/>
  <c r="O54" i="14"/>
  <c r="T51" i="14"/>
  <c r="U51" i="14" s="1"/>
  <c r="O51" i="14"/>
  <c r="O54" i="15"/>
  <c r="T52" i="15"/>
  <c r="U52" i="15" s="1"/>
  <c r="O52" i="15"/>
  <c r="T52" i="10"/>
  <c r="U52" i="10" s="1"/>
  <c r="O52" i="10"/>
  <c r="P62" i="10"/>
  <c r="O49" i="10"/>
  <c r="O56" i="10"/>
  <c r="T53" i="11"/>
  <c r="U53" i="11" s="1"/>
  <c r="O53" i="11"/>
  <c r="T31" i="10"/>
  <c r="U31" i="10" s="1"/>
  <c r="O31" i="10"/>
  <c r="O33" i="11"/>
  <c r="T51" i="11"/>
  <c r="U51" i="11" s="1"/>
  <c r="O51" i="11"/>
  <c r="T29" i="11"/>
  <c r="U29" i="11" s="1"/>
  <c r="O29" i="11"/>
  <c r="T53" i="21"/>
  <c r="U53" i="21" s="1"/>
  <c r="O53" i="21"/>
  <c r="T30" i="15"/>
  <c r="U30" i="15" s="1"/>
  <c r="O30" i="15"/>
  <c r="T30" i="20"/>
  <c r="U30" i="20" s="1"/>
  <c r="O30" i="20"/>
  <c r="O33" i="21"/>
  <c r="T51" i="21"/>
  <c r="U51" i="21" s="1"/>
  <c r="T51" i="10"/>
  <c r="U51" i="10" s="1"/>
  <c r="P38" i="14"/>
  <c r="N43" i="14"/>
  <c r="N44" i="14" s="1"/>
  <c r="P27" i="10"/>
  <c r="O27" i="10" s="1"/>
  <c r="N40" i="10"/>
  <c r="N41" i="10" s="1"/>
  <c r="N41" i="20"/>
  <c r="N42" i="20" s="1"/>
  <c r="P27" i="20"/>
  <c r="T49" i="10"/>
  <c r="N62" i="10"/>
  <c r="N18" i="14"/>
  <c r="N19" i="14" s="1"/>
  <c r="N18" i="21"/>
  <c r="N19" i="21" s="1"/>
  <c r="P27" i="15"/>
  <c r="N41" i="15"/>
  <c r="N42" i="15" s="1"/>
  <c r="N18" i="10"/>
  <c r="N19" i="10" s="1"/>
  <c r="N62" i="11"/>
  <c r="P49" i="11"/>
  <c r="P27" i="11"/>
  <c r="N40" i="11"/>
  <c r="N41" i="11" s="1"/>
  <c r="P49" i="21"/>
  <c r="N63" i="21"/>
  <c r="N18" i="20"/>
  <c r="N19" i="20" s="1"/>
  <c r="P27" i="21"/>
  <c r="O27" i="21" s="1"/>
  <c r="N41" i="21"/>
  <c r="N42" i="21" s="1"/>
  <c r="P49" i="15"/>
  <c r="N63" i="15"/>
  <c r="N64" i="15" s="1"/>
  <c r="P49" i="14"/>
  <c r="P65" i="14" s="1"/>
  <c r="P66" i="14" s="1"/>
  <c r="P27" i="14"/>
  <c r="O41" i="21" l="1"/>
  <c r="O42" i="21" s="1"/>
  <c r="O38" i="14"/>
  <c r="T49" i="21"/>
  <c r="U49" i="21" s="1"/>
  <c r="V49" i="21" s="1"/>
  <c r="O49" i="21"/>
  <c r="P62" i="11"/>
  <c r="O49" i="11"/>
  <c r="O62" i="11" s="1"/>
  <c r="O63" i="11" s="1"/>
  <c r="O27" i="15"/>
  <c r="O41" i="15" s="1"/>
  <c r="O42" i="15" s="1"/>
  <c r="O49" i="15"/>
  <c r="O27" i="11"/>
  <c r="O40" i="11" s="1"/>
  <c r="O41" i="11" s="1"/>
  <c r="O27" i="20"/>
  <c r="O41" i="20" s="1"/>
  <c r="O42" i="20" s="1"/>
  <c r="O62" i="10"/>
  <c r="O63" i="10" s="1"/>
  <c r="O40" i="10"/>
  <c r="O41" i="10" s="1"/>
  <c r="T27" i="14"/>
  <c r="O27" i="14"/>
  <c r="O43" i="14" s="1"/>
  <c r="O44" i="14" s="1"/>
  <c r="O49" i="14"/>
  <c r="P40" i="10"/>
  <c r="P41" i="10" s="1"/>
  <c r="P41" i="21"/>
  <c r="P42" i="21" s="1"/>
  <c r="T49" i="11"/>
  <c r="T54" i="11" s="1"/>
  <c r="P43" i="14"/>
  <c r="P44" i="14" s="1"/>
  <c r="T49" i="14"/>
  <c r="N63" i="11"/>
  <c r="P63" i="11"/>
  <c r="T27" i="21"/>
  <c r="N63" i="10"/>
  <c r="P63" i="10"/>
  <c r="T27" i="20"/>
  <c r="P41" i="20"/>
  <c r="P42" i="20" s="1"/>
  <c r="T27" i="11"/>
  <c r="P40" i="11"/>
  <c r="P41" i="11" s="1"/>
  <c r="N64" i="21"/>
  <c r="P63" i="21"/>
  <c r="P64" i="21" s="1"/>
  <c r="U49" i="11"/>
  <c r="V49" i="11" s="1"/>
  <c r="T27" i="15"/>
  <c r="P41" i="15"/>
  <c r="P42" i="15" s="1"/>
  <c r="T54" i="10"/>
  <c r="U49" i="10"/>
  <c r="V49" i="10" s="1"/>
  <c r="T27" i="10"/>
  <c r="T49" i="15"/>
  <c r="T54" i="21" l="1"/>
  <c r="T32" i="10"/>
  <c r="U27" i="10"/>
  <c r="V27" i="10" s="1"/>
  <c r="T32" i="21"/>
  <c r="U27" i="21"/>
  <c r="V27" i="21" s="1"/>
  <c r="T32" i="20"/>
  <c r="U27" i="20"/>
  <c r="V27" i="20" s="1"/>
  <c r="T32" i="15"/>
  <c r="U27" i="15"/>
  <c r="V27" i="15" s="1"/>
  <c r="T32" i="11"/>
  <c r="U27" i="11"/>
  <c r="V27" i="11" s="1"/>
  <c r="T54" i="15"/>
  <c r="U49" i="15"/>
  <c r="V49" i="15" s="1"/>
  <c r="T54" i="14"/>
  <c r="U49" i="14"/>
  <c r="V49" i="14" s="1"/>
  <c r="T32" i="14"/>
  <c r="U27" i="14"/>
  <c r="V27" i="14" s="1"/>
  <c r="P63" i="15" l="1"/>
  <c r="P64" i="15" s="1"/>
  <c r="O62" i="15"/>
  <c r="O63" i="15" s="1"/>
  <c r="O64" i="15" s="1"/>
  <c r="O62" i="14" l="1"/>
  <c r="O65" i="14" s="1"/>
  <c r="O66" i="14" s="1"/>
  <c r="P63" i="20"/>
  <c r="P64" i="20" s="1"/>
  <c r="O62" i="20"/>
  <c r="O63" i="20" s="1"/>
  <c r="O64" i="20" s="1"/>
  <c r="O62" i="21"/>
</calcChain>
</file>

<file path=xl/sharedStrings.xml><?xml version="1.0" encoding="utf-8"?>
<sst xmlns="http://schemas.openxmlformats.org/spreadsheetml/2006/main" count="3064" uniqueCount="124">
  <si>
    <t>MgO</t>
  </si>
  <si>
    <t>CaO</t>
  </si>
  <si>
    <t>scale factor</t>
  </si>
  <si>
    <t>density</t>
  </si>
  <si>
    <t>volume</t>
  </si>
  <si>
    <t>MAC</t>
  </si>
  <si>
    <t>Rwp</t>
  </si>
  <si>
    <t>Total</t>
  </si>
  <si>
    <t>Compound</t>
  </si>
  <si>
    <t>Phase</t>
  </si>
  <si>
    <t>Name</t>
  </si>
  <si>
    <t>[-]</t>
  </si>
  <si>
    <t>[%]</t>
  </si>
  <si>
    <t>[cm^2/g]</t>
  </si>
  <si>
    <t>SrO</t>
  </si>
  <si>
    <t>weight content</t>
  </si>
  <si>
    <t>[g/cm^3]</t>
  </si>
  <si>
    <t>Cristallinity</t>
  </si>
  <si>
    <t>Factor G</t>
  </si>
  <si>
    <t>[Å^3]</t>
  </si>
  <si>
    <t>Information from High Score plus software</t>
  </si>
  <si>
    <t>Quartz</t>
  </si>
  <si>
    <t>[cm^5]</t>
  </si>
  <si>
    <t>Mn3O4</t>
  </si>
  <si>
    <t>AlphaQ-06-05-22</t>
  </si>
  <si>
    <t>Calcite</t>
  </si>
  <si>
    <t>Albite</t>
  </si>
  <si>
    <t>Illite</t>
  </si>
  <si>
    <t>Amorphous/
Unidentified</t>
  </si>
  <si>
    <t>-</t>
  </si>
  <si>
    <t>Mass</t>
  </si>
  <si>
    <t>Mass corr</t>
  </si>
  <si>
    <t>Date</t>
  </si>
  <si>
    <t>Microcline</t>
  </si>
  <si>
    <t>Alite M1</t>
  </si>
  <si>
    <t>Alite M3</t>
  </si>
  <si>
    <t>Belite</t>
  </si>
  <si>
    <t>C3A</t>
  </si>
  <si>
    <t>Ferrite</t>
  </si>
  <si>
    <t>Bassanite</t>
  </si>
  <si>
    <t>Portlandite</t>
  </si>
  <si>
    <t>Mullite</t>
  </si>
  <si>
    <t>Hematite</t>
  </si>
  <si>
    <t>Magnetite</t>
  </si>
  <si>
    <t>Anhydrite</t>
  </si>
  <si>
    <t>Paragonite</t>
  </si>
  <si>
    <t>Rutile</t>
  </si>
  <si>
    <t>Data</t>
  </si>
  <si>
    <t>Anorthite</t>
  </si>
  <si>
    <t>Aluminium Phosphate</t>
  </si>
  <si>
    <t>AlphaQ-17-05-22</t>
  </si>
  <si>
    <t>Diopside</t>
  </si>
  <si>
    <t>AlphaQ-22-06-22</t>
  </si>
  <si>
    <t>SiO2</t>
  </si>
  <si>
    <t>Al2O3</t>
  </si>
  <si>
    <t>Fe2O3</t>
  </si>
  <si>
    <t>K2O</t>
  </si>
  <si>
    <t>SO3</t>
  </si>
  <si>
    <t>Na2O</t>
  </si>
  <si>
    <t>TiO2</t>
  </si>
  <si>
    <r>
      <t>P2O</t>
    </r>
    <r>
      <rPr>
        <sz val="11"/>
        <rFont val="Calibri"/>
        <family val="2"/>
        <scheme val="minor"/>
      </rPr>
      <t>5</t>
    </r>
  </si>
  <si>
    <t>O</t>
  </si>
  <si>
    <t>Molar mass [g/mol]</t>
  </si>
  <si>
    <t>First el.</t>
  </si>
  <si>
    <t>Mass fraction</t>
  </si>
  <si>
    <t>LOI (H2O)</t>
  </si>
  <si>
    <t>LOI (CO2)</t>
  </si>
  <si>
    <t>MAC_el</t>
  </si>
  <si>
    <t>MAC_ox</t>
  </si>
  <si>
    <t>MAC_avg</t>
  </si>
  <si>
    <t>(International Tables for Crystallography) X-rays (wiley.com)</t>
  </si>
  <si>
    <t>MAC numbers</t>
  </si>
  <si>
    <t>Anhydrous</t>
  </si>
  <si>
    <t>28d hydrated</t>
  </si>
  <si>
    <t>MAC_ign</t>
  </si>
  <si>
    <t>[g/100 g dried paste]</t>
  </si>
  <si>
    <t>[g/100 g binder]</t>
  </si>
  <si>
    <t>wn [g/g binder]</t>
  </si>
  <si>
    <t>140d hydrated</t>
  </si>
  <si>
    <t>C3S</t>
  </si>
  <si>
    <t>C2S</t>
  </si>
  <si>
    <t>C4AF</t>
  </si>
  <si>
    <t>DoH</t>
  </si>
  <si>
    <t>DoH_avg</t>
  </si>
  <si>
    <t>Sum</t>
  </si>
  <si>
    <t>wn [g/g dried paste]</t>
  </si>
  <si>
    <t>ICSD code</t>
  </si>
  <si>
    <t>Ettringite</t>
  </si>
  <si>
    <t>Hydrotalcite</t>
  </si>
  <si>
    <t>Monocarbonate</t>
  </si>
  <si>
    <t>Hemicarbonate</t>
  </si>
  <si>
    <t>AlphaQ-23-06-22</t>
  </si>
  <si>
    <t>AlphaQ-24-06-22</t>
  </si>
  <si>
    <t>[wt. %]</t>
  </si>
  <si>
    <t>Dolomite</t>
  </si>
  <si>
    <t>Montmorillonite</t>
  </si>
  <si>
    <t>TGA</t>
  </si>
  <si>
    <t>AlphaQ-12-10-22</t>
  </si>
  <si>
    <t>AlphaQ-13-10-22</t>
  </si>
  <si>
    <t>AlphaQ-10-11-22</t>
  </si>
  <si>
    <t>Amorphous/Unidentified</t>
  </si>
  <si>
    <t>Periclase</t>
  </si>
  <si>
    <t>Syngenite</t>
  </si>
  <si>
    <t>ICSD</t>
  </si>
  <si>
    <t>Sylvite</t>
  </si>
  <si>
    <t>KAlCl4</t>
  </si>
  <si>
    <t>Halite</t>
  </si>
  <si>
    <t>Sanidine</t>
  </si>
  <si>
    <t>Spurrite</t>
  </si>
  <si>
    <t>AlphaQ-10-01-23</t>
  </si>
  <si>
    <t>weight content norm.</t>
  </si>
  <si>
    <t>SF*density*volume^2</t>
  </si>
  <si>
    <t>AlphaQ-18-10-22</t>
  </si>
  <si>
    <t>[g/100 g cement]</t>
  </si>
  <si>
    <t>Gismondine</t>
  </si>
  <si>
    <t>Monosulfate</t>
  </si>
  <si>
    <t>AlphaQ-20-10-22</t>
  </si>
  <si>
    <t>Calcium chloride</t>
  </si>
  <si>
    <t>AlphaQ-07-02-23</t>
  </si>
  <si>
    <t>Aphthitalite</t>
  </si>
  <si>
    <t>AlphaQ-20-02-23</t>
  </si>
  <si>
    <t>AlphaQ-28-02-23</t>
  </si>
  <si>
    <t>Initial content</t>
  </si>
  <si>
    <t>In the paste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</si>
</sst>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"/>
    <numFmt numFmtId="165" formatCode="0.0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/>
    <xf numFmtId="2" fontId="0" fillId="0" borderId="1" xfId="0" applyNumberForma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/>
    <xf numFmtId="0" fontId="3" fillId="0" borderId="2" xfId="0" applyFont="1" applyFill="1" applyBorder="1"/>
    <xf numFmtId="0" fontId="3" fillId="0" borderId="1" xfId="0" applyFont="1" applyFill="1" applyBorder="1" applyAlignment="1">
      <alignment horizontal="center"/>
    </xf>
    <xf numFmtId="10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4" fillId="0" borderId="0" xfId="1"/>
    <xf numFmtId="166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6" fontId="1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1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vertical="center"/>
    </xf>
    <xf numFmtId="14" fontId="6" fillId="4" borderId="4" xfId="0" applyNumberFormat="1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6" fillId="4" borderId="9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0" fillId="6" borderId="5" xfId="0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0" fillId="6" borderId="4" xfId="0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0" fontId="0" fillId="6" borderId="7" xfId="0" applyFill="1" applyBorder="1" applyAlignment="1">
      <alignment vertical="center"/>
    </xf>
    <xf numFmtId="0" fontId="0" fillId="6" borderId="8" xfId="0" applyFill="1" applyBorder="1" applyAlignment="1">
      <alignment vertical="center"/>
    </xf>
    <xf numFmtId="0" fontId="0" fillId="6" borderId="9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vertical="center"/>
    </xf>
    <xf numFmtId="14" fontId="1" fillId="4" borderId="4" xfId="0" applyNumberFormat="1" applyFont="1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0" fontId="1" fillId="4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2" fontId="0" fillId="6" borderId="7" xfId="0" applyNumberForma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99CC"/>
      <color rgb="FFFF6699"/>
      <color rgb="FFCC00FF"/>
      <color rgb="FF00FF00"/>
      <color rgb="FFFF9900"/>
      <color rgb="FF66FFCC"/>
      <color rgb="FF00FFCC"/>
      <color rgb="FFFF6600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T/BBM/BYG/MAXR/Lab%20experiments/XRD/Results_Rietve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"/>
      <sheetName val="Reference-aQuartz"/>
      <sheetName val="Sand"/>
      <sheetName val="Cataclasite"/>
      <sheetName val="Granite"/>
      <sheetName val="Industrisement"/>
      <sheetName val="Rapid 0.4"/>
      <sheetName val="Rapid 0.5"/>
      <sheetName val="Rapid 0.6"/>
      <sheetName val="Limestone"/>
      <sheetName val="Fly ash"/>
      <sheetName val="Glass"/>
      <sheetName val="Glass_ballmill"/>
      <sheetName val="Calcined clay 1"/>
      <sheetName val="Calcined clay 2"/>
      <sheetName val="Brick"/>
      <sheetName val="Sewage sludge ash"/>
      <sheetName val="AMV"/>
      <sheetName val="ASV"/>
      <sheetName val="Phase assemblage"/>
      <sheetName val="Rapid - Ground"/>
      <sheetName val="Industrisement - AutoB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K6">
            <v>3.15</v>
          </cell>
          <cell r="L6">
            <v>2166.0790000000002</v>
          </cell>
        </row>
        <row r="7">
          <cell r="K7">
            <v>3.16</v>
          </cell>
          <cell r="L7">
            <v>4316.1279999999997</v>
          </cell>
        </row>
        <row r="8">
          <cell r="K8">
            <v>3.29</v>
          </cell>
          <cell r="L8">
            <v>347.22930000000002</v>
          </cell>
        </row>
        <row r="9">
          <cell r="K9">
            <v>3.04</v>
          </cell>
          <cell r="L9">
            <v>3541.5859999999998</v>
          </cell>
        </row>
        <row r="10">
          <cell r="K10">
            <v>3.75</v>
          </cell>
          <cell r="L10">
            <v>430.91660000000002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onlinelibrary.wiley.com/iucr/itc/Cb/ch4o2v0001/sec4o2o4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B76E0-65C0-408B-A930-30E05E98ABA4}">
  <sheetPr>
    <tabColor rgb="FFFF99CC"/>
  </sheetPr>
  <dimension ref="A1:H20"/>
  <sheetViews>
    <sheetView workbookViewId="0">
      <selection activeCell="C22" sqref="C22"/>
    </sheetView>
  </sheetViews>
  <sheetFormatPr defaultColWidth="8.85546875" defaultRowHeight="15" x14ac:dyDescent="0.25"/>
  <cols>
    <col min="1" max="16384" width="8.85546875" style="20"/>
  </cols>
  <sheetData>
    <row r="1" spans="1:8" x14ac:dyDescent="0.25">
      <c r="A1" s="21"/>
      <c r="B1" s="99" t="s">
        <v>62</v>
      </c>
      <c r="C1" s="99"/>
      <c r="D1" s="99" t="s">
        <v>64</v>
      </c>
      <c r="E1" s="99"/>
      <c r="F1" s="99" t="s">
        <v>67</v>
      </c>
      <c r="G1" s="99"/>
      <c r="H1" s="99" t="s">
        <v>68</v>
      </c>
    </row>
    <row r="2" spans="1:8" x14ac:dyDescent="0.25">
      <c r="A2" s="21"/>
      <c r="B2" s="21" t="s">
        <v>63</v>
      </c>
      <c r="C2" s="21" t="s">
        <v>61</v>
      </c>
      <c r="D2" s="21" t="s">
        <v>63</v>
      </c>
      <c r="E2" s="21" t="s">
        <v>61</v>
      </c>
      <c r="F2" s="21" t="s">
        <v>63</v>
      </c>
      <c r="G2" s="21" t="s">
        <v>61</v>
      </c>
      <c r="H2" s="99"/>
    </row>
    <row r="3" spans="1:8" x14ac:dyDescent="0.25">
      <c r="A3" s="1" t="s">
        <v>53</v>
      </c>
      <c r="B3" s="21">
        <v>28.085999999999999</v>
      </c>
      <c r="C3" s="21">
        <v>15.999000000000001</v>
      </c>
      <c r="D3" s="24">
        <f>B3/(B3+2*C3)</f>
        <v>0.46744557619332927</v>
      </c>
      <c r="E3" s="24">
        <f>2*C3/(B3+2*C3)</f>
        <v>0.53255442380667062</v>
      </c>
      <c r="F3" s="21">
        <v>63.7</v>
      </c>
      <c r="G3" s="21">
        <v>11.5</v>
      </c>
      <c r="H3" s="22">
        <f>D3*F3+E3*G3</f>
        <v>35.900659077291785</v>
      </c>
    </row>
    <row r="4" spans="1:8" x14ac:dyDescent="0.25">
      <c r="A4" s="1" t="s">
        <v>54</v>
      </c>
      <c r="B4" s="21">
        <v>26.981999999999999</v>
      </c>
      <c r="C4" s="21">
        <v>15.999000000000001</v>
      </c>
      <c r="D4" s="24">
        <f>2*B4/(2*B4+3*C4)</f>
        <v>0.52926118810133282</v>
      </c>
      <c r="E4" s="24">
        <f>3*C4/(2*B4+3*C4)</f>
        <v>0.47073881189866712</v>
      </c>
      <c r="F4" s="21">
        <v>49.6</v>
      </c>
      <c r="G4" s="21">
        <v>11.5</v>
      </c>
      <c r="H4" s="22">
        <f t="shared" ref="H4:H15" si="0">D4*F4+E4*G4</f>
        <v>31.664851266660783</v>
      </c>
    </row>
    <row r="5" spans="1:8" x14ac:dyDescent="0.25">
      <c r="A5" s="1" t="s">
        <v>55</v>
      </c>
      <c r="B5" s="21">
        <v>55.844999999999999</v>
      </c>
      <c r="C5" s="21">
        <v>15.999000000000001</v>
      </c>
      <c r="D5" s="24">
        <f>2*B5/(2*B5+3*C5)</f>
        <v>0.69943076142704164</v>
      </c>
      <c r="E5" s="24">
        <f>3*C5/(2*B5+3*C5)</f>
        <v>0.30056923857295831</v>
      </c>
      <c r="F5" s="21">
        <v>302</v>
      </c>
      <c r="G5" s="21">
        <v>11.5</v>
      </c>
      <c r="H5" s="22">
        <f t="shared" si="0"/>
        <v>214.68463619455559</v>
      </c>
    </row>
    <row r="6" spans="1:8" x14ac:dyDescent="0.25">
      <c r="A6" s="1" t="s">
        <v>0</v>
      </c>
      <c r="B6" s="21">
        <v>24.305</v>
      </c>
      <c r="C6" s="21">
        <v>15.999000000000001</v>
      </c>
      <c r="D6" s="24">
        <f>B6/(B6+C6)</f>
        <v>0.6030418816990869</v>
      </c>
      <c r="E6" s="24">
        <f>C6/(B6+C6)</f>
        <v>0.39695811830091304</v>
      </c>
      <c r="F6" s="21">
        <v>40</v>
      </c>
      <c r="G6" s="21">
        <v>11.5</v>
      </c>
      <c r="H6" s="22">
        <f t="shared" si="0"/>
        <v>28.686693628423974</v>
      </c>
    </row>
    <row r="7" spans="1:8" x14ac:dyDescent="0.25">
      <c r="A7" s="1" t="s">
        <v>1</v>
      </c>
      <c r="B7" s="21">
        <v>40.078000000000003</v>
      </c>
      <c r="C7" s="21">
        <v>15.999000000000001</v>
      </c>
      <c r="D7" s="24">
        <f>B7/(B7+C7)</f>
        <v>0.71469586461472612</v>
      </c>
      <c r="E7" s="24">
        <f>C7/(B7+C7)</f>
        <v>0.28530413538527383</v>
      </c>
      <c r="F7" s="21">
        <v>170</v>
      </c>
      <c r="G7" s="21">
        <v>11.5</v>
      </c>
      <c r="H7" s="22">
        <f t="shared" si="0"/>
        <v>124.77929454143408</v>
      </c>
    </row>
    <row r="8" spans="1:8" x14ac:dyDescent="0.25">
      <c r="A8" s="1" t="s">
        <v>56</v>
      </c>
      <c r="B8" s="21">
        <v>39.097999999999999</v>
      </c>
      <c r="C8" s="21">
        <v>15.999000000000001</v>
      </c>
      <c r="D8" s="24">
        <f>2*B8/(2*B8+C8)</f>
        <v>0.83015022028770113</v>
      </c>
      <c r="E8" s="24">
        <f>C8/(2*B8+C8)</f>
        <v>0.16984977971229898</v>
      </c>
      <c r="F8" s="21">
        <v>145</v>
      </c>
      <c r="G8" s="21">
        <v>11.5</v>
      </c>
      <c r="H8" s="22">
        <f t="shared" si="0"/>
        <v>122.32505440840811</v>
      </c>
    </row>
    <row r="9" spans="1:8" x14ac:dyDescent="0.25">
      <c r="A9" s="1" t="s">
        <v>57</v>
      </c>
      <c r="B9" s="21">
        <v>32.064999999999998</v>
      </c>
      <c r="C9" s="21">
        <v>15.999000000000001</v>
      </c>
      <c r="D9" s="24">
        <f>B9/(B9+3*C9)</f>
        <v>0.40050211086408033</v>
      </c>
      <c r="E9" s="24">
        <f>3*C9/(B9+3*C9)</f>
        <v>0.59949788913591973</v>
      </c>
      <c r="F9" s="21">
        <v>93.3</v>
      </c>
      <c r="G9" s="21">
        <v>11.5</v>
      </c>
      <c r="H9" s="22">
        <f t="shared" si="0"/>
        <v>44.261072668681777</v>
      </c>
    </row>
    <row r="10" spans="1:8" x14ac:dyDescent="0.25">
      <c r="A10" s="1" t="s">
        <v>14</v>
      </c>
      <c r="B10" s="21">
        <v>87.62</v>
      </c>
      <c r="C10" s="21">
        <v>15.999000000000001</v>
      </c>
      <c r="D10" s="24">
        <f>B10/(B10+C10)</f>
        <v>0.84559781507252541</v>
      </c>
      <c r="E10" s="24">
        <f>C10/(B10+C10)</f>
        <v>0.15440218492747471</v>
      </c>
      <c r="F10" s="21">
        <v>113</v>
      </c>
      <c r="G10" s="21">
        <v>11.5</v>
      </c>
      <c r="H10" s="22">
        <f t="shared" si="0"/>
        <v>97.328178229861322</v>
      </c>
    </row>
    <row r="11" spans="1:8" x14ac:dyDescent="0.25">
      <c r="A11" s="1" t="s">
        <v>58</v>
      </c>
      <c r="B11" s="21">
        <v>22.99</v>
      </c>
      <c r="C11" s="21">
        <v>15.999000000000001</v>
      </c>
      <c r="D11" s="24">
        <f t="shared" ref="D11:D16" si="1">B11/(B11+2*C11)</f>
        <v>0.41809121990252418</v>
      </c>
      <c r="E11" s="24">
        <f>2*C11/(B11+2*C11)</f>
        <v>0.58190878009747582</v>
      </c>
      <c r="F11" s="21">
        <v>29.7</v>
      </c>
      <c r="G11" s="21">
        <v>11.5</v>
      </c>
      <c r="H11" s="22">
        <f t="shared" si="0"/>
        <v>19.10926020222594</v>
      </c>
    </row>
    <row r="12" spans="1:8" x14ac:dyDescent="0.25">
      <c r="A12" s="1" t="s">
        <v>59</v>
      </c>
      <c r="B12" s="21">
        <v>47.866999999999997</v>
      </c>
      <c r="C12" s="21">
        <v>15.999000000000001</v>
      </c>
      <c r="D12" s="24">
        <f t="shared" si="1"/>
        <v>0.59934890127089469</v>
      </c>
      <c r="E12" s="24">
        <f>2*C12/(B12+2*C12)</f>
        <v>0.40065109872910543</v>
      </c>
      <c r="F12" s="21">
        <v>200</v>
      </c>
      <c r="G12" s="21">
        <v>11.5</v>
      </c>
      <c r="H12" s="22">
        <f t="shared" si="0"/>
        <v>124.47726788956365</v>
      </c>
    </row>
    <row r="13" spans="1:8" x14ac:dyDescent="0.25">
      <c r="A13" s="2" t="s">
        <v>60</v>
      </c>
      <c r="B13" s="21">
        <v>30.974</v>
      </c>
      <c r="C13" s="21">
        <v>15.999000000000001</v>
      </c>
      <c r="D13" s="24">
        <f>2*B13/(2*B13+5*C13)</f>
        <v>0.43642870729799987</v>
      </c>
      <c r="E13" s="24">
        <f>5*C13/(2*B13+5*C13)</f>
        <v>0.56357129270200013</v>
      </c>
      <c r="F13" s="21">
        <v>75.5</v>
      </c>
      <c r="G13" s="21">
        <v>11.5</v>
      </c>
      <c r="H13" s="22">
        <f t="shared" si="0"/>
        <v>39.431437267071992</v>
      </c>
    </row>
    <row r="14" spans="1:8" x14ac:dyDescent="0.25">
      <c r="A14" s="19" t="s">
        <v>23</v>
      </c>
      <c r="B14" s="21">
        <v>54.938000000000002</v>
      </c>
      <c r="C14" s="21">
        <v>15.999000000000001</v>
      </c>
      <c r="D14" s="24">
        <f>3*B14/(3*B14+4*C14)</f>
        <v>0.72030942703553169</v>
      </c>
      <c r="E14" s="24">
        <f>4*C14/(3*B14+4*C14)</f>
        <v>0.27969057296446831</v>
      </c>
      <c r="F14" s="21">
        <v>270</v>
      </c>
      <c r="G14" s="21">
        <v>11.5</v>
      </c>
      <c r="H14" s="22">
        <f t="shared" si="0"/>
        <v>197.69998688868492</v>
      </c>
    </row>
    <row r="15" spans="1:8" x14ac:dyDescent="0.25">
      <c r="A15" s="1" t="s">
        <v>65</v>
      </c>
      <c r="B15" s="21">
        <v>1.008</v>
      </c>
      <c r="C15" s="21">
        <v>15.999000000000001</v>
      </c>
      <c r="D15" s="24">
        <f>2*B15/(2*B15+C15)</f>
        <v>0.11190674437968359</v>
      </c>
      <c r="E15" s="24">
        <f>C15/(2*B15+C15)</f>
        <v>0.88809325562031638</v>
      </c>
      <c r="F15" s="21">
        <v>0.39100000000000001</v>
      </c>
      <c r="G15" s="21">
        <v>11.5</v>
      </c>
      <c r="H15" s="22">
        <f t="shared" si="0"/>
        <v>10.256827976686095</v>
      </c>
    </row>
    <row r="16" spans="1:8" x14ac:dyDescent="0.25">
      <c r="A16" s="21" t="s">
        <v>66</v>
      </c>
      <c r="B16" s="21">
        <v>12.010999999999999</v>
      </c>
      <c r="C16" s="21">
        <v>15.999000000000001</v>
      </c>
      <c r="D16" s="24">
        <f t="shared" si="1"/>
        <v>0.27292144788565975</v>
      </c>
      <c r="E16" s="24">
        <f>2*C16/(B16+2*C16)</f>
        <v>0.72707855211434025</v>
      </c>
      <c r="F16" s="21">
        <v>4.51</v>
      </c>
      <c r="G16" s="21">
        <v>11.5</v>
      </c>
      <c r="H16" s="22">
        <f t="shared" ref="H16" si="2">D16*F16+E16*G16</f>
        <v>9.592279079279237</v>
      </c>
    </row>
    <row r="19" spans="1:1" x14ac:dyDescent="0.25">
      <c r="A19" s="20" t="s">
        <v>71</v>
      </c>
    </row>
    <row r="20" spans="1:1" x14ac:dyDescent="0.25">
      <c r="A20" s="23" t="s">
        <v>70</v>
      </c>
    </row>
  </sheetData>
  <mergeCells count="4">
    <mergeCell ref="B1:C1"/>
    <mergeCell ref="F1:G1"/>
    <mergeCell ref="D1:E1"/>
    <mergeCell ref="H1:H2"/>
  </mergeCells>
  <hyperlinks>
    <hyperlink ref="A20" r:id="rId1" display="https://onlinelibrary.wiley.com/iucr/itc/Cb/ch4o2v0001/sec4o2o4/" xr:uid="{567539F7-E46D-4360-B1AC-9BE53C79F09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23729-5757-44CE-80FE-C88A8B0786EB}">
  <sheetPr>
    <tabColor theme="9"/>
  </sheetPr>
  <dimension ref="A1:AV63"/>
  <sheetViews>
    <sheetView zoomScaleNormal="100" workbookViewId="0">
      <selection activeCell="O22" sqref="O22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8.570312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5.710937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42" t="s">
        <v>32</v>
      </c>
      <c r="B1" s="43">
        <v>44687</v>
      </c>
      <c r="H1" s="38" t="s">
        <v>20</v>
      </c>
      <c r="I1" s="38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>
        <v>6.23</v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25" t="s">
        <v>8</v>
      </c>
      <c r="B4" s="25" t="s">
        <v>30</v>
      </c>
      <c r="C4" s="25" t="s">
        <v>31</v>
      </c>
      <c r="D4" s="25" t="s">
        <v>68</v>
      </c>
      <c r="E4" s="25" t="s">
        <v>69</v>
      </c>
      <c r="H4" s="25" t="s">
        <v>9</v>
      </c>
      <c r="I4" s="25" t="s">
        <v>86</v>
      </c>
      <c r="J4" s="25" t="s">
        <v>2</v>
      </c>
      <c r="K4" s="25" t="s">
        <v>3</v>
      </c>
      <c r="L4" s="25" t="s">
        <v>4</v>
      </c>
      <c r="M4" s="25" t="s">
        <v>5</v>
      </c>
      <c r="N4" s="5" t="s">
        <v>15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25" t="s">
        <v>11</v>
      </c>
      <c r="B5" s="25" t="s">
        <v>93</v>
      </c>
      <c r="C5" s="25" t="s">
        <v>93</v>
      </c>
      <c r="D5" s="25" t="s">
        <v>13</v>
      </c>
      <c r="E5" s="25" t="s">
        <v>13</v>
      </c>
      <c r="H5" s="25" t="s">
        <v>11</v>
      </c>
      <c r="I5" s="25" t="s">
        <v>11</v>
      </c>
      <c r="J5" s="25" t="s">
        <v>11</v>
      </c>
      <c r="K5" s="25" t="s">
        <v>16</v>
      </c>
      <c r="L5" s="25" t="s">
        <v>19</v>
      </c>
      <c r="M5" s="25" t="s">
        <v>13</v>
      </c>
      <c r="N5" s="5" t="s">
        <v>12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23.2</v>
      </c>
      <c r="C6" s="18">
        <f t="shared" ref="C6:C17" si="0">B6*(100-B$18)/B$19</f>
        <v>23.301003905943972</v>
      </c>
      <c r="D6" s="18">
        <f>INDEX(MAC!$H$3:$H$16,MATCH('LA-BA2'!$A6,MAC!$A$3:$A$16,0))</f>
        <v>35.900659077291785</v>
      </c>
      <c r="E6" s="18">
        <f>C6*D6/100</f>
        <v>8.3652139738593885</v>
      </c>
      <c r="F6" s="39"/>
      <c r="G6" s="39"/>
      <c r="H6" s="25" t="s">
        <v>21</v>
      </c>
      <c r="I6" s="25">
        <v>174</v>
      </c>
      <c r="J6" s="25">
        <v>1.24373E-3</v>
      </c>
      <c r="K6" s="25">
        <v>2.65</v>
      </c>
      <c r="L6" s="25">
        <v>112.99460000000001</v>
      </c>
      <c r="M6" s="5">
        <f t="shared" ref="M6:M10" si="1">$E$19</f>
        <v>72.96930770896742</v>
      </c>
      <c r="N6" s="6">
        <f>100*J6*K6*(L6*0.00000001^3)^2*M6/INDEX('Reference-aQuartz'!$H$4:$H$17,MATCH($B$1,'Reference-aQuartz'!$A$4:$A$17,0))</f>
        <v>5.2975081095715906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4.3</v>
      </c>
      <c r="C7" s="18">
        <f t="shared" si="0"/>
        <v>4.3187205515327189</v>
      </c>
      <c r="D7" s="18">
        <f>INDEX(MAC!$H$3:$H$16,MATCH('LA-BA2'!$A7,MAC!$A$3:$A$16,0))</f>
        <v>31.664851266660783</v>
      </c>
      <c r="E7" s="18">
        <f t="shared" ref="E7:E10" si="2">C7*D7/100</f>
        <v>1.3675164392655477</v>
      </c>
      <c r="F7" s="39"/>
      <c r="G7" s="39"/>
      <c r="H7" s="25" t="s">
        <v>44</v>
      </c>
      <c r="I7" s="25">
        <v>15876</v>
      </c>
      <c r="J7" s="25">
        <v>2.5428000000000001E-4</v>
      </c>
      <c r="K7" s="25">
        <v>2.95</v>
      </c>
      <c r="L7" s="25">
        <v>306.14679999999998</v>
      </c>
      <c r="M7" s="5">
        <f t="shared" si="1"/>
        <v>72.96930770896742</v>
      </c>
      <c r="N7" s="6">
        <f>100*J7*K7*(L7*0.00000001^3)^2*M7/INDEX('Reference-aQuartz'!$H$4:$H$17,MATCH($B$1,'Reference-aQuartz'!$A$4:$A$17,0))</f>
        <v>8.8507064217693436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1.93</v>
      </c>
      <c r="C8" s="18">
        <f t="shared" si="0"/>
        <v>1.938402480106546</v>
      </c>
      <c r="D8" s="18">
        <f>INDEX(MAC!$H$3:$H$16,MATCH('LA-BA2'!$A8,MAC!$A$3:$A$16,0))</f>
        <v>214.68463619455559</v>
      </c>
      <c r="E8" s="18">
        <f t="shared" si="2"/>
        <v>4.1614523124029814</v>
      </c>
      <c r="F8" s="39"/>
      <c r="G8" s="39"/>
      <c r="H8" s="25" t="s">
        <v>25</v>
      </c>
      <c r="I8" s="25">
        <v>73446</v>
      </c>
      <c r="J8" s="25">
        <v>2.1652999999999999E-4</v>
      </c>
      <c r="K8" s="25">
        <v>2.7</v>
      </c>
      <c r="L8" s="25">
        <v>369.19260000000003</v>
      </c>
      <c r="M8" s="5">
        <f t="shared" si="1"/>
        <v>72.96930770896742</v>
      </c>
      <c r="N8" s="6">
        <f>100*J8*K8*(L8*0.00000001^3)^2*M8/INDEX('Reference-aQuartz'!$H$4:$H$17,MATCH($B$1,'Reference-aQuartz'!$A$4:$A$17,0))</f>
        <v>10.031643342691165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4</v>
      </c>
      <c r="C9" s="18">
        <f t="shared" si="0"/>
        <v>4.0174144665420641</v>
      </c>
      <c r="D9" s="18">
        <f>INDEX(MAC!$H$3:$H$16,MATCH('LA-BA2'!$A9,MAC!$A$3:$A$16,0))</f>
        <v>28.686693628423974</v>
      </c>
      <c r="E9" s="18">
        <f t="shared" si="2"/>
        <v>1.1524633798009054</v>
      </c>
      <c r="F9" s="39"/>
      <c r="G9" s="39"/>
      <c r="H9" s="25" t="s">
        <v>40</v>
      </c>
      <c r="I9" s="25">
        <v>202220</v>
      </c>
      <c r="J9" s="25">
        <v>1.25407E-2</v>
      </c>
      <c r="K9" s="25">
        <v>2.2200000000000002</v>
      </c>
      <c r="L9" s="25">
        <v>55.367550000000001</v>
      </c>
      <c r="M9" s="5">
        <f t="shared" si="1"/>
        <v>72.96930770896742</v>
      </c>
      <c r="N9" s="6">
        <f>100*J9*K9*(L9*0.00000001^3)^2*M9/INDEX('Reference-aQuartz'!$H$4:$H$17,MATCH($B$1,'Reference-aQuartz'!$A$4:$A$17,0))</f>
        <v>10.744089916161908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30.9</v>
      </c>
      <c r="C10" s="18">
        <f t="shared" si="0"/>
        <v>31.034526754037447</v>
      </c>
      <c r="D10" s="18">
        <f>INDEX(MAC!$H$3:$H$16,MATCH('LA-BA2'!$A10,MAC!$A$3:$A$16,0))</f>
        <v>124.77929454143408</v>
      </c>
      <c r="E10" s="18">
        <f t="shared" si="2"/>
        <v>38.724663547960546</v>
      </c>
      <c r="F10" s="39"/>
      <c r="G10" s="39"/>
      <c r="H10" s="25" t="s">
        <v>101</v>
      </c>
      <c r="I10" s="25">
        <v>9863</v>
      </c>
      <c r="J10" s="25">
        <v>6.1806999999999997E-4</v>
      </c>
      <c r="K10" s="25">
        <v>3.58</v>
      </c>
      <c r="L10" s="25">
        <v>74.761560000000003</v>
      </c>
      <c r="M10" s="5">
        <f t="shared" si="1"/>
        <v>72.96930770896742</v>
      </c>
      <c r="N10" s="6">
        <f>100*J10*K10*(L10*0.00000001^3)^2*M10/INDEX('Reference-aQuartz'!$H$4:$H$17,MATCH($B$1,'Reference-aQuartz'!$A$4:$A$17,0))</f>
        <v>1.5569034061385008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7.35</v>
      </c>
      <c r="C11" s="18">
        <f t="shared" si="0"/>
        <v>7.3819990822710428</v>
      </c>
      <c r="D11" s="18">
        <f>INDEX(MAC!$H$3:$H$16,MATCH('LA-BA2'!$A11,MAC!$A$3:$A$16,0))</f>
        <v>122.32505440840811</v>
      </c>
      <c r="E11" s="18">
        <f t="shared" ref="E11:E18" si="3">C11*D11/100</f>
        <v>9.0300343938162406</v>
      </c>
      <c r="F11" s="39"/>
      <c r="G11" s="39"/>
      <c r="H11" s="25" t="s">
        <v>102</v>
      </c>
      <c r="I11" s="25">
        <v>157072</v>
      </c>
      <c r="J11" s="25">
        <v>2.4528000000000001E-4</v>
      </c>
      <c r="K11" s="25">
        <v>2.58</v>
      </c>
      <c r="L11" s="25">
        <v>423.3503</v>
      </c>
      <c r="M11" s="5">
        <f>$E$19</f>
        <v>72.96930770896742</v>
      </c>
      <c r="N11" s="6">
        <f>100*J11*K11*(L11*0.00000001^3)^2*M11/INDEX('Reference-aQuartz'!$H$4:$H$17,MATCH($B$1,'Reference-aQuartz'!$A$4:$A$17,0))</f>
        <v>14.277949949266979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12.66</v>
      </c>
      <c r="C12" s="18">
        <f t="shared" si="0"/>
        <v>12.715116786605632</v>
      </c>
      <c r="D12" s="18">
        <f>INDEX(MAC!$H$3:$H$16,MATCH('LA-BA2'!$A12,MAC!$A$3:$A$16,0))</f>
        <v>44.261072668681777</v>
      </c>
      <c r="E12" s="18">
        <f t="shared" si="3"/>
        <v>5.6278470808272747</v>
      </c>
      <c r="F12" s="39"/>
      <c r="G12" s="39"/>
      <c r="H12" s="25" t="s">
        <v>46</v>
      </c>
      <c r="I12" s="25">
        <v>93097</v>
      </c>
      <c r="J12" s="65">
        <v>8.5229999999999995E-5</v>
      </c>
      <c r="K12" s="25">
        <v>4.2699999999999996</v>
      </c>
      <c r="L12" s="25">
        <v>62.205390000000001</v>
      </c>
      <c r="M12" s="5">
        <f t="shared" ref="M12:M17" si="4">$E$19</f>
        <v>72.96930770896742</v>
      </c>
      <c r="N12" s="6">
        <f>100*J12*K12*(L12*0.00000001^3)^2*M12/INDEX('Reference-aQuartz'!$H$4:$H$17,MATCH($B$1,'Reference-aQuartz'!$A$4:$A$17,0))</f>
        <v>0.17728037675696395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0.09</v>
      </c>
      <c r="C13" s="18">
        <f t="shared" si="0"/>
        <v>9.0391825497196446E-2</v>
      </c>
      <c r="D13" s="18">
        <f>INDEX(MAC!$H$3:$H$16,MATCH('LA-BA2'!$A13,MAC!$A$3:$A$16,0))</f>
        <v>97.328178229861322</v>
      </c>
      <c r="E13" s="18">
        <f t="shared" si="3"/>
        <v>8.7976717025136597E-2</v>
      </c>
      <c r="F13" s="39"/>
      <c r="G13" s="39"/>
      <c r="H13" s="25" t="s">
        <v>117</v>
      </c>
      <c r="I13" s="25">
        <v>56769</v>
      </c>
      <c r="J13" s="65">
        <v>1.2680000000000001E-5</v>
      </c>
      <c r="K13" s="25">
        <v>2.2400000000000002</v>
      </c>
      <c r="L13" s="25">
        <v>329.1148</v>
      </c>
      <c r="M13" s="5">
        <f t="shared" si="4"/>
        <v>72.96930770896742</v>
      </c>
      <c r="N13" s="6">
        <f>100*J13*K13*(L13*0.00000001^3)^2*M13/INDEX('Reference-aQuartz'!$H$4:$H$17,MATCH($B$1,'Reference-aQuartz'!$A$4:$A$17,0))</f>
        <v>0.38729899054655753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0.71</v>
      </c>
      <c r="C14" s="18">
        <f t="shared" si="0"/>
        <v>0.71309106781121634</v>
      </c>
      <c r="D14" s="18">
        <f>INDEX(MAC!$H$3:$H$16,MATCH('LA-BA2'!$A14,MAC!$A$3:$A$16,0))</f>
        <v>19.10926020222594</v>
      </c>
      <c r="E14" s="18">
        <f t="shared" si="3"/>
        <v>0.13626642762687674</v>
      </c>
      <c r="F14" s="39"/>
      <c r="G14" s="39"/>
      <c r="H14" s="25" t="s">
        <v>104</v>
      </c>
      <c r="I14" s="25">
        <v>154214</v>
      </c>
      <c r="J14" s="65">
        <v>4.8940000000000002E-5</v>
      </c>
      <c r="K14" s="25">
        <v>1.99</v>
      </c>
      <c r="L14" s="25">
        <v>249.2595</v>
      </c>
      <c r="M14" s="5">
        <f t="shared" si="4"/>
        <v>72.96930770896742</v>
      </c>
      <c r="N14" s="6">
        <f>100*J14*K14*(L14*0.00000001^3)^2*M14/INDEX('Reference-aQuartz'!$H$4:$H$17,MATCH($B$1,'Reference-aQuartz'!$A$4:$A$17,0))</f>
        <v>0.76173646908961978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0.28999999999999998</v>
      </c>
      <c r="C15" s="18">
        <f t="shared" si="0"/>
        <v>0.29126254882429964</v>
      </c>
      <c r="D15" s="18">
        <f>INDEX(MAC!$H$3:$H$16,MATCH('LA-BA2'!$A15,MAC!$A$3:$A$16,0))</f>
        <v>124.47726788956365</v>
      </c>
      <c r="E15" s="18">
        <f t="shared" si="3"/>
        <v>0.36255566316199456</v>
      </c>
      <c r="F15" s="39"/>
      <c r="G15" s="39"/>
      <c r="H15" s="25"/>
      <c r="I15" s="25"/>
      <c r="J15" s="25"/>
      <c r="K15" s="25"/>
      <c r="L15" s="25"/>
      <c r="M15" s="5">
        <f>$E$19</f>
        <v>72.96930770896742</v>
      </c>
      <c r="N15" s="6">
        <f>100*J15*K15*(L15*0.00000001^3)^2*M15/INDEX('Reference-aQuartz'!$H$4:$H$17,MATCH($B$1,'Reference-aQuartz'!$A$4:$A$17,0))</f>
        <v>0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3.03</v>
      </c>
      <c r="C16" s="18">
        <f t="shared" si="0"/>
        <v>3.0431914584056137</v>
      </c>
      <c r="D16" s="18">
        <f>INDEX(MAC!$H$3:$H$16,MATCH('LA-BA2'!$A16,MAC!$A$3:$A$16,0))</f>
        <v>39.431437267071992</v>
      </c>
      <c r="E16" s="18">
        <f t="shared" si="3"/>
        <v>1.1999741308381029</v>
      </c>
      <c r="F16" s="39"/>
      <c r="G16" s="39"/>
      <c r="H16" s="25"/>
      <c r="I16" s="25"/>
      <c r="J16" s="25"/>
      <c r="K16" s="25"/>
      <c r="L16" s="25"/>
      <c r="M16" s="5">
        <f t="shared" si="4"/>
        <v>72.96930770896742</v>
      </c>
      <c r="N16" s="6">
        <f>100*J16*K16*(L16*0.00000001^3)^2*M16/INDEX('Reference-aQuartz'!$H$4:$H$17,MATCH($B$1,'Reference-aQuartz'!$A$4:$A$17,0))</f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0.89100000000000001</v>
      </c>
      <c r="C17" s="18">
        <f t="shared" si="0"/>
        <v>0.89487907242224474</v>
      </c>
      <c r="D17" s="18">
        <f>INDEX(MAC!$H$3:$H$16,MATCH('LA-BA2'!$A17,MAC!$A$3:$A$16,0))</f>
        <v>197.69998688868492</v>
      </c>
      <c r="E17" s="18">
        <f t="shared" si="3"/>
        <v>1.7691758088483629</v>
      </c>
      <c r="H17" s="21"/>
      <c r="I17" s="21"/>
      <c r="J17" s="21"/>
      <c r="K17" s="21"/>
      <c r="L17" s="21"/>
      <c r="M17" s="5">
        <f t="shared" si="4"/>
        <v>72.96930770896742</v>
      </c>
      <c r="N17" s="37">
        <f>100*J17*K17*(L17*0.00000001^3)^2*M17/INDEX('Reference-aQuartz'!$H$4:$H$17,MATCH($B$1,'Reference-aQuartz'!$A$4:$A$17,0))</f>
        <v>0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10.26</v>
      </c>
      <c r="C18" s="18">
        <f>B18</f>
        <v>10.26</v>
      </c>
      <c r="D18" s="18">
        <f>INDEX(MAC!$H$3:$H$16,MATCH('LA-BA2'!$A18,MAC!$A$3:$A$16,0))</f>
        <v>9.592279079279237</v>
      </c>
      <c r="E18" s="18">
        <f t="shared" si="3"/>
        <v>0.98416783353404969</v>
      </c>
      <c r="H18" s="104" t="s">
        <v>7</v>
      </c>
      <c r="I18" s="105"/>
      <c r="J18" s="105"/>
      <c r="K18" s="105"/>
      <c r="L18" s="105"/>
      <c r="M18" s="106"/>
      <c r="N18" s="37">
        <f>SUM(N6:N17)</f>
        <v>52.085116981992627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25" t="s">
        <v>7</v>
      </c>
      <c r="B19" s="40">
        <f>SUM(B6:B17)</f>
        <v>89.350999999999999</v>
      </c>
      <c r="C19" s="40">
        <f>SUM(C6:C18)</f>
        <v>100</v>
      </c>
      <c r="D19" s="25" t="s">
        <v>29</v>
      </c>
      <c r="E19" s="41">
        <f>SUM(E6:E18)</f>
        <v>72.96930770896742</v>
      </c>
      <c r="H19" s="107" t="s">
        <v>28</v>
      </c>
      <c r="I19" s="108"/>
      <c r="J19" s="108"/>
      <c r="K19" s="108"/>
      <c r="L19" s="108"/>
      <c r="M19" s="109"/>
      <c r="N19" s="37">
        <f>100-N18</f>
        <v>47.914883018007373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44734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0.41</v>
      </c>
      <c r="D23" s="52"/>
      <c r="E23" s="52">
        <v>0.27</v>
      </c>
      <c r="F23" s="53"/>
    </row>
    <row r="24" spans="1:48" x14ac:dyDescent="0.25">
      <c r="H24" s="46" t="s">
        <v>6</v>
      </c>
      <c r="I24" s="28">
        <v>5.22</v>
      </c>
      <c r="J24" s="33"/>
    </row>
    <row r="25" spans="1:48" x14ac:dyDescent="0.25">
      <c r="A25" s="25" t="s">
        <v>8</v>
      </c>
      <c r="B25" s="25" t="s">
        <v>30</v>
      </c>
      <c r="C25" s="25" t="s">
        <v>31</v>
      </c>
      <c r="D25" s="25" t="s">
        <v>68</v>
      </c>
      <c r="E25" s="25" t="s">
        <v>69</v>
      </c>
      <c r="F25" s="25" t="s">
        <v>74</v>
      </c>
      <c r="G25" s="54"/>
      <c r="H25" s="25" t="s">
        <v>9</v>
      </c>
      <c r="I25" s="25" t="s">
        <v>86</v>
      </c>
      <c r="J25" s="25" t="s">
        <v>2</v>
      </c>
      <c r="K25" s="25" t="s">
        <v>3</v>
      </c>
      <c r="L25" s="25" t="s">
        <v>4</v>
      </c>
      <c r="M25" s="25" t="s">
        <v>5</v>
      </c>
      <c r="N25" s="5" t="s">
        <v>15</v>
      </c>
      <c r="O25" s="5" t="s">
        <v>15</v>
      </c>
      <c r="P25" s="5" t="s">
        <v>15</v>
      </c>
      <c r="Q25" s="88" t="s">
        <v>96</v>
      </c>
      <c r="R25" s="89"/>
      <c r="S25" s="88" t="s">
        <v>122</v>
      </c>
      <c r="T25" s="88" t="s">
        <v>123</v>
      </c>
      <c r="U25" s="88" t="s">
        <v>82</v>
      </c>
      <c r="V25" s="36" t="s">
        <v>83</v>
      </c>
    </row>
    <row r="26" spans="1:48" x14ac:dyDescent="0.25">
      <c r="A26" s="25" t="s">
        <v>11</v>
      </c>
      <c r="B26" s="25" t="s">
        <v>93</v>
      </c>
      <c r="C26" s="25" t="s">
        <v>93</v>
      </c>
      <c r="D26" s="25" t="s">
        <v>13</v>
      </c>
      <c r="E26" s="25" t="s">
        <v>13</v>
      </c>
      <c r="F26" s="25" t="s">
        <v>13</v>
      </c>
      <c r="G26" s="54"/>
      <c r="H26" s="25" t="s">
        <v>11</v>
      </c>
      <c r="I26" s="25" t="s">
        <v>11</v>
      </c>
      <c r="J26" s="25" t="s">
        <v>11</v>
      </c>
      <c r="K26" s="25" t="s">
        <v>16</v>
      </c>
      <c r="L26" s="25" t="s">
        <v>19</v>
      </c>
      <c r="M26" s="25" t="s">
        <v>13</v>
      </c>
      <c r="N26" s="5" t="s">
        <v>75</v>
      </c>
      <c r="O26" s="88" t="s">
        <v>113</v>
      </c>
      <c r="P26" s="68" t="s">
        <v>76</v>
      </c>
      <c r="Q26" s="88" t="s">
        <v>76</v>
      </c>
      <c r="R26" s="89"/>
      <c r="S26" s="88" t="s">
        <v>76</v>
      </c>
      <c r="T26" s="88" t="s">
        <v>76</v>
      </c>
      <c r="U26" s="88" t="s">
        <v>11</v>
      </c>
      <c r="V26" s="36" t="s">
        <v>11</v>
      </c>
    </row>
    <row r="27" spans="1:48" x14ac:dyDescent="0.25">
      <c r="A27" s="1" t="s">
        <v>53</v>
      </c>
      <c r="B27" s="12">
        <f>0.65*'LA-Ref 0.5'!B6+0.35*B6</f>
        <v>20.6</v>
      </c>
      <c r="C27" s="18">
        <f>B27*(100-B$39)/B$41</f>
        <v>20.609155011741553</v>
      </c>
      <c r="D27" s="18">
        <f>INDEX(MAC!$H$3:$H$16,MATCH($A27,MAC!$A$3:$A$16,0))</f>
        <v>35.900659077291785</v>
      </c>
      <c r="E27" s="18">
        <f>C27*D27/100</f>
        <v>7.3988224794759283</v>
      </c>
      <c r="F27" s="21"/>
      <c r="G27" s="55"/>
      <c r="H27" s="85" t="s">
        <v>34</v>
      </c>
      <c r="I27" s="85"/>
      <c r="J27" s="65">
        <v>3.7E-7</v>
      </c>
      <c r="K27" s="25">
        <f>'LA-Ref 0.5'!K6</f>
        <v>3.15</v>
      </c>
      <c r="L27" s="81">
        <f>'LA-Ref 0.5'!L6</f>
        <v>2166.0790000000002</v>
      </c>
      <c r="M27" s="5">
        <f>$F$41</f>
        <v>57.036140420269959</v>
      </c>
      <c r="N27" s="6">
        <f>100*J27*K27*(L27*0.00000001^3)^2*M27/INDEX('Reference-aQuartz'!$H$4:$H$17,MATCH($B$22,'Reference-aQuartz'!$A$4:$A$17,0))</f>
        <v>0.36196548797347033</v>
      </c>
      <c r="O27" s="32">
        <f>P27*100/65</f>
        <v>0.70722487650201127</v>
      </c>
      <c r="P27" s="32">
        <f t="shared" ref="P27:P38" si="5">N27*(1+$E$23)</f>
        <v>0.45969616972630734</v>
      </c>
      <c r="Q27" s="69"/>
      <c r="R27" s="110" t="s">
        <v>79</v>
      </c>
      <c r="S27" s="100">
        <f>('LA-Ref 0.5'!P6+'LA-Ref 0.5'!P7)*0.65</f>
        <v>42.364846282241693</v>
      </c>
      <c r="T27" s="100">
        <f>P27+P28</f>
        <v>0.45969616972630734</v>
      </c>
      <c r="U27" s="102">
        <f>(S27-T27)/S27</f>
        <v>0.98914911276524564</v>
      </c>
      <c r="V27" s="30">
        <f>(U27*S27+U29*S29+U30*S30+U31*S31)/S32</f>
        <v>0.94228385258962744</v>
      </c>
    </row>
    <row r="28" spans="1:48" x14ac:dyDescent="0.25">
      <c r="A28" s="1" t="s">
        <v>54</v>
      </c>
      <c r="B28" s="12">
        <f>0.65*'LA-Ref 0.5'!B7+0.35*B7</f>
        <v>4.8849999999999998</v>
      </c>
      <c r="C28" s="18">
        <f t="shared" ref="C28:C38" si="6">B28*(100-B$39)/B$41</f>
        <v>4.8871709821532754</v>
      </c>
      <c r="D28" s="18">
        <f>INDEX(MAC!$H$3:$H$16,MATCH($A28,MAC!$A$3:$A$16,0))</f>
        <v>31.664851266660783</v>
      </c>
      <c r="E28" s="18">
        <f t="shared" ref="E28:E39" si="7">C28*D28/100</f>
        <v>1.5475154226462395</v>
      </c>
      <c r="F28" s="21"/>
      <c r="G28" s="55"/>
      <c r="H28" s="85" t="s">
        <v>35</v>
      </c>
      <c r="I28" s="85">
        <v>94742</v>
      </c>
      <c r="J28" s="25">
        <v>0</v>
      </c>
      <c r="K28" s="81">
        <f>'LA-Ref 0.5'!K7</f>
        <v>3.16</v>
      </c>
      <c r="L28" s="81">
        <f>'LA-Ref 0.5'!L7</f>
        <v>4316.1279999999997</v>
      </c>
      <c r="M28" s="5">
        <f t="shared" ref="M28:M40" si="8">$F$41</f>
        <v>57.036140420269959</v>
      </c>
      <c r="N28" s="6">
        <f>100*J28*K28*(L28*0.00000001^3)^2*M28/INDEX('Reference-aQuartz'!$H$4:$H$17,MATCH($B$22,'Reference-aQuartz'!$A$4:$A$17,0))</f>
        <v>0</v>
      </c>
      <c r="O28" s="32">
        <f t="shared" ref="O28:O38" si="9">P28*100/65</f>
        <v>0</v>
      </c>
      <c r="P28" s="32">
        <f t="shared" si="5"/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0.5'!B8+0.35*B8</f>
        <v>3.0609999999999999</v>
      </c>
      <c r="C29" s="18">
        <f t="shared" si="6"/>
        <v>3.0623603636379073</v>
      </c>
      <c r="D29" s="18">
        <f>INDEX(MAC!$H$3:$H$16,MATCH($A29,MAC!$A$3:$A$16,0))</f>
        <v>214.68463619455559</v>
      </c>
      <c r="E29" s="18">
        <f t="shared" si="7"/>
        <v>6.5744172056423107</v>
      </c>
      <c r="F29" s="21"/>
      <c r="G29" s="55"/>
      <c r="H29" s="85" t="s">
        <v>36</v>
      </c>
      <c r="I29" s="85">
        <v>81096</v>
      </c>
      <c r="J29" s="65">
        <v>6.4259999999999998E-5</v>
      </c>
      <c r="K29" s="81">
        <f>'LA-Ref 0.5'!K8</f>
        <v>3.29</v>
      </c>
      <c r="L29" s="81">
        <f>'LA-Ref 0.5'!L8</f>
        <v>347.22930000000002</v>
      </c>
      <c r="M29" s="5">
        <f t="shared" si="8"/>
        <v>57.036140420269959</v>
      </c>
      <c r="N29" s="6">
        <f>100*J29*K29*(L29*0.00000001^3)^2*M29/INDEX('Reference-aQuartz'!$H$4:$H$17,MATCH($B$22,'Reference-aQuartz'!$A$4:$A$17,0))</f>
        <v>1.6872352931133057</v>
      </c>
      <c r="O29" s="32">
        <f t="shared" si="9"/>
        <v>3.2965981880829203</v>
      </c>
      <c r="P29" s="32">
        <f t="shared" si="5"/>
        <v>2.1427888222538982</v>
      </c>
      <c r="Q29" s="69"/>
      <c r="R29" s="89" t="s">
        <v>80</v>
      </c>
      <c r="S29" s="69">
        <f>'LA-Ref 0.5'!P8*0.65</f>
        <v>6.6266164042793037</v>
      </c>
      <c r="T29" s="69">
        <f>P29</f>
        <v>2.1427888222538982</v>
      </c>
      <c r="U29" s="34">
        <f>(S29-T29)/S29</f>
        <v>0.67663907316709349</v>
      </c>
    </row>
    <row r="30" spans="1:48" x14ac:dyDescent="0.25">
      <c r="A30" s="1" t="s">
        <v>0</v>
      </c>
      <c r="B30" s="12">
        <f>0.65*'LA-Ref 0.5'!B9+0.35*B9</f>
        <v>2.0499999999999998</v>
      </c>
      <c r="C30" s="18">
        <f t="shared" si="6"/>
        <v>2.0509110569936979</v>
      </c>
      <c r="D30" s="18">
        <f>INDEX(MAC!$H$3:$H$16,MATCH($A30,MAC!$A$3:$A$16,0))</f>
        <v>28.686693628423974</v>
      </c>
      <c r="E30" s="18">
        <f t="shared" si="7"/>
        <v>0.5883385715112539</v>
      </c>
      <c r="F30" s="21"/>
      <c r="G30" s="55"/>
      <c r="H30" s="85" t="s">
        <v>37</v>
      </c>
      <c r="I30" s="85">
        <v>1841</v>
      </c>
      <c r="J30" s="25">
        <v>0</v>
      </c>
      <c r="K30" s="81">
        <f>'LA-Ref 0.5'!K9</f>
        <v>3.04</v>
      </c>
      <c r="L30" s="81">
        <f>'LA-Ref 0.5'!L9</f>
        <v>3541.5859999999998</v>
      </c>
      <c r="M30" s="5">
        <f t="shared" si="8"/>
        <v>57.036140420269959</v>
      </c>
      <c r="N30" s="6">
        <f>100*J30*K30*(L30*0.00000001^3)^2*M30/INDEX('Reference-aQuartz'!$H$4:$H$17,MATCH($B$22,'Reference-aQuartz'!$A$4:$A$17,0))</f>
        <v>0</v>
      </c>
      <c r="O30" s="32">
        <f t="shared" si="9"/>
        <v>0</v>
      </c>
      <c r="P30" s="32">
        <f t="shared" si="5"/>
        <v>0</v>
      </c>
      <c r="Q30" s="69"/>
      <c r="R30" s="89" t="s">
        <v>37</v>
      </c>
      <c r="S30" s="69">
        <f>'LA-Ref 0.5'!P9*0.65</f>
        <v>2.3605659551948133</v>
      </c>
      <c r="T30" s="69">
        <f>P30</f>
        <v>0</v>
      </c>
      <c r="U30" s="34">
        <f t="shared" ref="U30:U31" si="10">(S30-T30)/S30</f>
        <v>1</v>
      </c>
    </row>
    <row r="31" spans="1:48" x14ac:dyDescent="0.25">
      <c r="A31" s="1" t="s">
        <v>1</v>
      </c>
      <c r="B31" s="12">
        <f>0.65*'LA-Ref 0.5'!B10+0.35*B10</f>
        <v>52.024999999999999</v>
      </c>
      <c r="C31" s="18">
        <f t="shared" si="6"/>
        <v>52.048120848827871</v>
      </c>
      <c r="D31" s="18">
        <f>INDEX(MAC!$H$3:$H$16,MATCH($A31,MAC!$A$3:$A$16,0))</f>
        <v>124.77929454143408</v>
      </c>
      <c r="E31" s="18">
        <f t="shared" si="7"/>
        <v>64.945278017240483</v>
      </c>
      <c r="F31" s="21"/>
      <c r="G31" s="55"/>
      <c r="H31" s="85" t="s">
        <v>38</v>
      </c>
      <c r="I31" s="85">
        <v>98836</v>
      </c>
      <c r="J31" s="65">
        <v>1.307E-5</v>
      </c>
      <c r="K31" s="81">
        <f>'LA-Ref 0.5'!K10</f>
        <v>3.75</v>
      </c>
      <c r="L31" s="81">
        <f>'LA-Ref 0.5'!L10</f>
        <v>430.91660000000002</v>
      </c>
      <c r="M31" s="5">
        <f t="shared" si="8"/>
        <v>57.036140420269959</v>
      </c>
      <c r="N31" s="6">
        <f>100*J31*K31*(L31*0.00000001^3)^2*M31/INDEX('Reference-aQuartz'!$H$4:$H$17,MATCH($B$22,'Reference-aQuartz'!$A$4:$A$17,0))</f>
        <v>0.60242031225558357</v>
      </c>
      <c r="O31" s="32">
        <f t="shared" si="9"/>
        <v>1.1770366100993712</v>
      </c>
      <c r="P31" s="32">
        <f t="shared" si="5"/>
        <v>0.76507379656459118</v>
      </c>
      <c r="Q31" s="69"/>
      <c r="R31" s="89" t="s">
        <v>81</v>
      </c>
      <c r="S31" s="69">
        <f>'LA-Ref 0.5'!P10*0.65</f>
        <v>6.9948801462326609</v>
      </c>
      <c r="T31" s="69">
        <f>P31</f>
        <v>0.76507379656459118</v>
      </c>
      <c r="U31" s="34">
        <f t="shared" si="10"/>
        <v>0.89062374471467554</v>
      </c>
    </row>
    <row r="32" spans="1:48" x14ac:dyDescent="0.25">
      <c r="A32" s="1" t="s">
        <v>56</v>
      </c>
      <c r="B32" s="12">
        <f>0.65*'LA-Ref 0.5'!B11+0.35*B11</f>
        <v>2.8194999999999997</v>
      </c>
      <c r="C32" s="18">
        <f t="shared" si="6"/>
        <v>2.8207530366798688</v>
      </c>
      <c r="D32" s="18">
        <f>INDEX(MAC!$H$3:$H$16,MATCH($A32,MAC!$A$3:$A$16,0))</f>
        <v>122.32505440840811</v>
      </c>
      <c r="E32" s="18">
        <f t="shared" si="7"/>
        <v>3.4504876868454732</v>
      </c>
      <c r="F32" s="21"/>
      <c r="G32" s="55"/>
      <c r="H32" s="85" t="s">
        <v>40</v>
      </c>
      <c r="I32" s="85">
        <v>202220</v>
      </c>
      <c r="J32" s="90">
        <v>1.804385E-2</v>
      </c>
      <c r="K32" s="90">
        <v>2.2400000000000002</v>
      </c>
      <c r="L32" s="90">
        <v>54.944009999999999</v>
      </c>
      <c r="M32" s="5">
        <f t="shared" si="8"/>
        <v>57.036140420269959</v>
      </c>
      <c r="N32" s="6">
        <f>100*J32*K32*(L32*0.00000001^3)^2*M32/INDEX('Reference-aQuartz'!$H$4:$H$17,MATCH($B$22,'Reference-aQuartz'!$A$4:$A$17,0))</f>
        <v>8.0765192771371304</v>
      </c>
      <c r="O32" s="32">
        <f t="shared" si="9"/>
        <v>15.780276126098702</v>
      </c>
      <c r="P32" s="32">
        <f t="shared" si="5"/>
        <v>10.257179481964156</v>
      </c>
      <c r="Q32" s="69">
        <v>12</v>
      </c>
      <c r="R32" s="89" t="s">
        <v>84</v>
      </c>
      <c r="S32" s="69">
        <f>SUM(S27:S31)</f>
        <v>58.346908787948472</v>
      </c>
      <c r="T32" s="69">
        <f>SUM(T27:T31)</f>
        <v>3.3675587885447968</v>
      </c>
    </row>
    <row r="33" spans="1:22" x14ac:dyDescent="0.25">
      <c r="A33" s="1" t="s">
        <v>57</v>
      </c>
      <c r="B33" s="12">
        <f>0.65*'LA-Ref 0.5'!B12+0.35*B12</f>
        <v>6.4720000000000004</v>
      </c>
      <c r="C33" s="18">
        <f t="shared" si="6"/>
        <v>6.4748762735918124</v>
      </c>
      <c r="D33" s="18">
        <f>INDEX(MAC!$H$3:$H$16,MATCH($A33,MAC!$A$3:$A$16,0))</f>
        <v>44.261072668681777</v>
      </c>
      <c r="E33" s="18">
        <f t="shared" si="7"/>
        <v>2.8658496926617065</v>
      </c>
      <c r="F33" s="21"/>
      <c r="G33" s="55"/>
      <c r="H33" s="85" t="s">
        <v>25</v>
      </c>
      <c r="I33" s="85">
        <v>73446</v>
      </c>
      <c r="J33" s="90">
        <v>1.1114E-4</v>
      </c>
      <c r="K33" s="90">
        <v>2.71</v>
      </c>
      <c r="L33" s="90">
        <v>368.00819999999999</v>
      </c>
      <c r="M33" s="5">
        <f t="shared" si="8"/>
        <v>57.036140420269959</v>
      </c>
      <c r="N33" s="6">
        <f>100*J33*K33*(L33*0.00000001^3)^2*M33/INDEX('Reference-aQuartz'!$H$4:$H$17,MATCH($B$22,'Reference-aQuartz'!$A$4:$A$17,0))</f>
        <v>2.699982674678671</v>
      </c>
      <c r="O33" s="32">
        <f t="shared" si="9"/>
        <v>5.2753507643721731</v>
      </c>
      <c r="P33" s="32">
        <f t="shared" si="5"/>
        <v>3.4289779968419123</v>
      </c>
      <c r="Q33" s="69">
        <v>4.0999999999999996</v>
      </c>
    </row>
    <row r="34" spans="1:22" x14ac:dyDescent="0.25">
      <c r="A34" s="1" t="s">
        <v>14</v>
      </c>
      <c r="B34" s="12">
        <f>0.65*'LA-Ref 0.5'!B13+0.35*B13</f>
        <v>0.11600000000000001</v>
      </c>
      <c r="C34" s="18">
        <f t="shared" si="6"/>
        <v>0.11605155249330194</v>
      </c>
      <c r="D34" s="18">
        <f>INDEX(MAC!$H$3:$H$16,MATCH($A34,MAC!$A$3:$A$16,0))</f>
        <v>97.328178229861322</v>
      </c>
      <c r="E34" s="18">
        <f t="shared" si="7"/>
        <v>0.11295086184920197</v>
      </c>
      <c r="F34" s="21"/>
      <c r="G34" s="55"/>
      <c r="H34" s="85" t="s">
        <v>21</v>
      </c>
      <c r="I34" s="85">
        <v>174</v>
      </c>
      <c r="J34" s="90">
        <v>1.9317500000000001E-3</v>
      </c>
      <c r="K34" s="90">
        <v>2.65</v>
      </c>
      <c r="L34" s="90">
        <v>112.95780000000001</v>
      </c>
      <c r="M34" s="5">
        <f t="shared" si="8"/>
        <v>57.036140420269959</v>
      </c>
      <c r="N34" s="6">
        <f>100*J34*K34*(L34*0.00000001^3)^2*M34/INDEX('Reference-aQuartz'!$H$4:$H$17,MATCH($B$22,'Reference-aQuartz'!$A$4:$A$17,0))</f>
        <v>4.3235008433616731</v>
      </c>
      <c r="O34" s="32">
        <f t="shared" si="9"/>
        <v>8.4474554939528073</v>
      </c>
      <c r="P34" s="32">
        <f t="shared" si="5"/>
        <v>5.490846071069325</v>
      </c>
      <c r="Q34" s="69"/>
    </row>
    <row r="35" spans="1:22" x14ac:dyDescent="0.25">
      <c r="A35" s="1" t="s">
        <v>58</v>
      </c>
      <c r="B35" s="12">
        <f>0.65*'LA-Ref 0.5'!B14+0.35*B14</f>
        <v>0.46299999999999997</v>
      </c>
      <c r="C35" s="18">
        <f t="shared" si="6"/>
        <v>0.46320576555516202</v>
      </c>
      <c r="D35" s="18">
        <f>INDEX(MAC!$H$3:$H$16,MATCH($A35,MAC!$A$3:$A$16,0))</f>
        <v>19.10926020222594</v>
      </c>
      <c r="E35" s="18">
        <f t="shared" si="7"/>
        <v>8.8515195011648562E-2</v>
      </c>
      <c r="F35" s="21"/>
      <c r="G35" s="55"/>
      <c r="H35" s="85" t="s">
        <v>87</v>
      </c>
      <c r="I35" s="85">
        <v>155395</v>
      </c>
      <c r="J35" s="65">
        <v>1.613E-5</v>
      </c>
      <c r="K35" s="90">
        <v>1.78</v>
      </c>
      <c r="L35" s="90">
        <v>2341.2550000000001</v>
      </c>
      <c r="M35" s="5">
        <f t="shared" si="8"/>
        <v>57.036140420269959</v>
      </c>
      <c r="N35" s="6">
        <f>100*J35*K35*(L35*0.00000001^3)^2*M35/INDEX('Reference-aQuartz'!$H$4:$H$17,MATCH($B$22,'Reference-aQuartz'!$A$4:$A$17,0))</f>
        <v>10.417370441100042</v>
      </c>
      <c r="O35" s="32">
        <f t="shared" si="9"/>
        <v>20.353939169533927</v>
      </c>
      <c r="P35" s="32">
        <f t="shared" si="5"/>
        <v>13.230060460197054</v>
      </c>
      <c r="Q35" s="69"/>
    </row>
    <row r="36" spans="1:22" x14ac:dyDescent="0.25">
      <c r="A36" s="1" t="s">
        <v>59</v>
      </c>
      <c r="B36" s="12">
        <f>0.65*'LA-Ref 0.5'!B15+0.35*B15</f>
        <v>0.22500000000000001</v>
      </c>
      <c r="C36" s="18">
        <f t="shared" si="6"/>
        <v>0.22509999406028394</v>
      </c>
      <c r="D36" s="18">
        <f>INDEX(MAC!$H$3:$H$16,MATCH($A36,MAC!$A$3:$A$16,0))</f>
        <v>124.47726788956365</v>
      </c>
      <c r="E36" s="18">
        <f t="shared" si="7"/>
        <v>0.28019832262581151</v>
      </c>
      <c r="F36" s="21"/>
      <c r="G36" s="55"/>
      <c r="H36" s="85" t="s">
        <v>88</v>
      </c>
      <c r="I36" s="85">
        <v>81963</v>
      </c>
      <c r="J36" s="90">
        <v>0</v>
      </c>
      <c r="K36" s="90"/>
      <c r="L36" s="90"/>
      <c r="M36" s="5">
        <f t="shared" si="8"/>
        <v>57.036140420269959</v>
      </c>
      <c r="N36" s="6">
        <f>100*J36*K36*(L36*0.00000001^3)^2*M36/INDEX('Reference-aQuartz'!$H$4:$H$17,MATCH($B$22,'Reference-aQuartz'!$A$4:$A$17,0))</f>
        <v>0</v>
      </c>
      <c r="O36" s="32">
        <f t="shared" si="9"/>
        <v>0</v>
      </c>
      <c r="P36" s="32">
        <f t="shared" si="5"/>
        <v>0</v>
      </c>
      <c r="Q36" s="69"/>
    </row>
    <row r="37" spans="1:22" x14ac:dyDescent="0.25">
      <c r="A37" s="1" t="s">
        <v>60</v>
      </c>
      <c r="B37" s="12">
        <f>0.65*'LA-Ref 0.5'!B16+0.35*B16</f>
        <v>1.2294999999999998</v>
      </c>
      <c r="C37" s="18">
        <f t="shared" si="6"/>
        <v>1.2300464119871959</v>
      </c>
      <c r="D37" s="18">
        <f>INDEX(MAC!$H$3:$H$16,MATCH($A37,MAC!$A$3:$A$16,0))</f>
        <v>39.431437267071992</v>
      </c>
      <c r="E37" s="18">
        <f t="shared" si="7"/>
        <v>0.48502497929860106</v>
      </c>
      <c r="F37" s="21"/>
      <c r="G37" s="55"/>
      <c r="H37" s="85" t="s">
        <v>89</v>
      </c>
      <c r="I37" s="85">
        <v>59327</v>
      </c>
      <c r="J37" s="90">
        <v>0</v>
      </c>
      <c r="K37" s="90"/>
      <c r="L37" s="90"/>
      <c r="M37" s="5">
        <f t="shared" si="8"/>
        <v>57.036140420269959</v>
      </c>
      <c r="N37" s="6">
        <f>100*J37*K37*(L37*0.00000001^3)^2*M37/INDEX('Reference-aQuartz'!$H$4:$H$17,MATCH($B$22,'Reference-aQuartz'!$A$4:$A$17,0))</f>
        <v>0</v>
      </c>
      <c r="O37" s="32">
        <f t="shared" si="9"/>
        <v>0</v>
      </c>
      <c r="P37" s="32">
        <f t="shared" si="5"/>
        <v>0</v>
      </c>
      <c r="Q37" s="69"/>
    </row>
    <row r="38" spans="1:22" x14ac:dyDescent="0.25">
      <c r="A38" s="19" t="s">
        <v>23</v>
      </c>
      <c r="B38" s="12">
        <f>0.65*'LA-Ref 0.5'!B17+0.35*B17</f>
        <v>0.33459999999999995</v>
      </c>
      <c r="C38" s="18">
        <f t="shared" si="6"/>
        <v>0.33474870227809334</v>
      </c>
      <c r="D38" s="18">
        <f>INDEX(MAC!$H$3:$H$16,MATCH($A38,MAC!$A$3:$A$16,0))</f>
        <v>197.69998688868492</v>
      </c>
      <c r="E38" s="18">
        <f t="shared" si="7"/>
        <v>0.66179814051383345</v>
      </c>
      <c r="F38" s="21"/>
      <c r="G38" s="55"/>
      <c r="H38" s="90" t="s">
        <v>90</v>
      </c>
      <c r="I38" s="90">
        <v>2105252</v>
      </c>
      <c r="J38" s="65">
        <v>1.2500000000000001E-6</v>
      </c>
      <c r="K38" s="90">
        <v>1.83</v>
      </c>
      <c r="L38" s="90">
        <v>1406.386</v>
      </c>
      <c r="M38" s="5">
        <f t="shared" si="8"/>
        <v>57.036140420269959</v>
      </c>
      <c r="N38" s="6">
        <f>100*J38*K38*(L38*0.00000001^3)^2*M38/INDEX('Reference-aQuartz'!$H$4:$H$17,MATCH($B$22,'Reference-aQuartz'!$A$4:$A$17,0))</f>
        <v>0.29948596479187656</v>
      </c>
      <c r="O38" s="32">
        <f t="shared" si="9"/>
        <v>0.58514950043951264</v>
      </c>
      <c r="P38" s="32">
        <f t="shared" si="5"/>
        <v>0.38034717528568324</v>
      </c>
      <c r="Q38" s="69"/>
    </row>
    <row r="39" spans="1:22" x14ac:dyDescent="0.25">
      <c r="A39" s="1" t="s">
        <v>66</v>
      </c>
      <c r="B39" s="12">
        <f>0.65*'LA-Ref 0.5'!B18+0.35*B18</f>
        <v>5.6775000000000002</v>
      </c>
      <c r="C39" s="18">
        <f>B39</f>
        <v>5.6775000000000002</v>
      </c>
      <c r="D39" s="18">
        <f>INDEX(MAC!$H$3:$H$16,MATCH($A39,MAC!$A$3:$A$16,0))</f>
        <v>9.592279079279237</v>
      </c>
      <c r="E39" s="18">
        <f t="shared" si="7"/>
        <v>0.54460164472607875</v>
      </c>
      <c r="F39" s="21"/>
      <c r="G39" s="55"/>
      <c r="H39" s="90" t="s">
        <v>102</v>
      </c>
      <c r="I39" s="90">
        <v>157072</v>
      </c>
      <c r="J39" s="65">
        <v>1.11E-6</v>
      </c>
      <c r="K39" s="90">
        <v>2.57</v>
      </c>
      <c r="L39" s="90">
        <v>424.31279999999998</v>
      </c>
      <c r="M39" s="5">
        <f t="shared" si="8"/>
        <v>57.036140420269959</v>
      </c>
      <c r="N39" s="6">
        <f>100*J39*K39*(L39*0.00000001^3)^2*M39/INDEX('Reference-aQuartz'!$H$4:$H$17,MATCH($B$22,'Reference-aQuartz'!$A$4:$A$17,0))</f>
        <v>3.3996536228385672E-2</v>
      </c>
      <c r="O39" s="32">
        <f t="shared" ref="O39:O40" si="11">P39*100/65</f>
        <v>6.6424001553922779E-2</v>
      </c>
      <c r="P39" s="32">
        <f t="shared" ref="P39:P40" si="12">N39*(1+$E$23)</f>
        <v>4.3175601010049802E-2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90" t="s">
        <v>44</v>
      </c>
      <c r="I40" s="90">
        <v>15876</v>
      </c>
      <c r="J40" s="65">
        <v>6.5599999999999999E-6</v>
      </c>
      <c r="K40" s="90">
        <v>2.99</v>
      </c>
      <c r="L40" s="90">
        <v>302.55939999999998</v>
      </c>
      <c r="M40" s="5">
        <f t="shared" si="8"/>
        <v>57.036140420269959</v>
      </c>
      <c r="N40" s="6">
        <f>100*J40*K40*(L40*0.00000001^3)^2*M40/INDEX('Reference-aQuartz'!$H$4:$H$17,MATCH($B$22,'Reference-aQuartz'!$A$4:$A$17,0))</f>
        <v>0.11885094267407796</v>
      </c>
      <c r="O40" s="32">
        <f t="shared" si="11"/>
        <v>0.23221645722473697</v>
      </c>
      <c r="P40" s="32">
        <f t="shared" si="12"/>
        <v>0.15094069719607903</v>
      </c>
    </row>
    <row r="41" spans="1:22" x14ac:dyDescent="0.25">
      <c r="A41" s="25" t="s">
        <v>7</v>
      </c>
      <c r="B41" s="40">
        <f>SUM(B27:B38)</f>
        <v>94.280599999999978</v>
      </c>
      <c r="C41" s="40">
        <f>SUM(C27:C39)</f>
        <v>100.00000000000001</v>
      </c>
      <c r="D41" s="25" t="s">
        <v>29</v>
      </c>
      <c r="E41" s="56">
        <f>SUM(E27:E39)</f>
        <v>89.543798220048572</v>
      </c>
      <c r="F41" s="57">
        <f>E41*(1-C23)+D40*C23</f>
        <v>57.036140420269959</v>
      </c>
      <c r="H41" s="107" t="s">
        <v>7</v>
      </c>
      <c r="I41" s="108"/>
      <c r="J41" s="108"/>
      <c r="K41" s="108"/>
      <c r="L41" s="108"/>
      <c r="M41" s="109"/>
      <c r="N41" s="6">
        <f>SUM(N27:N39)</f>
        <v>28.502476830640141</v>
      </c>
      <c r="O41" s="31">
        <f>SUM(O27:O40)</f>
        <v>55.921671187860078</v>
      </c>
      <c r="P41" s="31">
        <f>SUM(P27:P40)</f>
        <v>36.349086272109055</v>
      </c>
    </row>
    <row r="42" spans="1:22" x14ac:dyDescent="0.25">
      <c r="H42" s="107" t="s">
        <v>28</v>
      </c>
      <c r="I42" s="108"/>
      <c r="J42" s="108"/>
      <c r="K42" s="108"/>
      <c r="L42" s="108"/>
      <c r="M42" s="109"/>
      <c r="N42" s="6">
        <f>100-N41</f>
        <v>71.497523169359852</v>
      </c>
      <c r="O42" s="31">
        <f>100-O41</f>
        <v>44.078328812139922</v>
      </c>
      <c r="P42" s="31">
        <f>100-P41</f>
        <v>63.650913727890945</v>
      </c>
    </row>
    <row r="44" spans="1:22" x14ac:dyDescent="0.25">
      <c r="A44" s="42" t="s">
        <v>32</v>
      </c>
      <c r="B44" s="43">
        <v>44852</v>
      </c>
      <c r="C44" s="47" t="s">
        <v>85</v>
      </c>
      <c r="D44" s="48"/>
      <c r="E44" s="48" t="s">
        <v>77</v>
      </c>
      <c r="F44" s="49"/>
    </row>
    <row r="45" spans="1:22" x14ac:dyDescent="0.25">
      <c r="A45" s="44" t="s">
        <v>78</v>
      </c>
      <c r="B45" s="50"/>
      <c r="C45" s="51">
        <v>0.47</v>
      </c>
      <c r="D45" s="52"/>
      <c r="E45" s="52">
        <v>0.3</v>
      </c>
      <c r="F45" s="53"/>
    </row>
    <row r="46" spans="1:22" x14ac:dyDescent="0.25">
      <c r="H46" s="46" t="s">
        <v>6</v>
      </c>
      <c r="I46" s="28">
        <v>4.59</v>
      </c>
      <c r="J46" s="33"/>
    </row>
    <row r="47" spans="1:22" x14ac:dyDescent="0.25">
      <c r="A47" s="25" t="s">
        <v>8</v>
      </c>
      <c r="B47" s="25" t="s">
        <v>30</v>
      </c>
      <c r="C47" s="25" t="s">
        <v>31</v>
      </c>
      <c r="D47" s="25" t="s">
        <v>68</v>
      </c>
      <c r="E47" s="25" t="s">
        <v>69</v>
      </c>
      <c r="F47" s="25" t="s">
        <v>74</v>
      </c>
      <c r="G47" s="54"/>
      <c r="H47" s="25" t="s">
        <v>9</v>
      </c>
      <c r="I47" s="25" t="s">
        <v>86</v>
      </c>
      <c r="J47" s="25" t="s">
        <v>2</v>
      </c>
      <c r="K47" s="25" t="s">
        <v>3</v>
      </c>
      <c r="L47" s="25" t="s">
        <v>4</v>
      </c>
      <c r="M47" s="25" t="s">
        <v>5</v>
      </c>
      <c r="N47" s="5" t="s">
        <v>15</v>
      </c>
      <c r="O47" s="5" t="s">
        <v>15</v>
      </c>
      <c r="P47" s="5" t="s">
        <v>15</v>
      </c>
      <c r="Q47" s="88" t="s">
        <v>96</v>
      </c>
      <c r="R47" s="89"/>
      <c r="S47" s="96" t="s">
        <v>122</v>
      </c>
      <c r="T47" s="96" t="s">
        <v>123</v>
      </c>
      <c r="U47" s="88" t="s">
        <v>82</v>
      </c>
      <c r="V47" s="36" t="s">
        <v>83</v>
      </c>
    </row>
    <row r="48" spans="1:22" x14ac:dyDescent="0.25">
      <c r="A48" s="25" t="s">
        <v>11</v>
      </c>
      <c r="B48" s="25" t="s">
        <v>93</v>
      </c>
      <c r="C48" s="25" t="s">
        <v>93</v>
      </c>
      <c r="D48" s="25" t="s">
        <v>13</v>
      </c>
      <c r="E48" s="25" t="s">
        <v>13</v>
      </c>
      <c r="F48" s="25" t="s">
        <v>13</v>
      </c>
      <c r="G48" s="54"/>
      <c r="H48" s="25" t="s">
        <v>11</v>
      </c>
      <c r="I48" s="25" t="s">
        <v>11</v>
      </c>
      <c r="J48" s="25" t="s">
        <v>11</v>
      </c>
      <c r="K48" s="25" t="s">
        <v>16</v>
      </c>
      <c r="L48" s="25" t="s">
        <v>19</v>
      </c>
      <c r="M48" s="25" t="s">
        <v>13</v>
      </c>
      <c r="N48" s="5" t="s">
        <v>75</v>
      </c>
      <c r="O48" s="88" t="s">
        <v>113</v>
      </c>
      <c r="P48" s="68" t="s">
        <v>76</v>
      </c>
      <c r="Q48" s="88" t="s">
        <v>76</v>
      </c>
      <c r="R48" s="89"/>
      <c r="S48" s="88" t="s">
        <v>76</v>
      </c>
      <c r="T48" s="88" t="s">
        <v>76</v>
      </c>
      <c r="U48" s="88" t="s">
        <v>11</v>
      </c>
      <c r="V48" s="36" t="s">
        <v>11</v>
      </c>
    </row>
    <row r="49" spans="1:22" x14ac:dyDescent="0.25">
      <c r="A49" s="1" t="s">
        <v>53</v>
      </c>
      <c r="B49" s="12">
        <f>0.65*'LA-Ref 0.5'!B6+0.35*B6</f>
        <v>20.6</v>
      </c>
      <c r="C49" s="18">
        <f>B49*(100-B$39)/B$41</f>
        <v>20.609155011741553</v>
      </c>
      <c r="D49" s="18">
        <f>INDEX(MAC!$H$3:$H$16,MATCH($A49,MAC!$A$3:$A$16,0))</f>
        <v>35.900659077291785</v>
      </c>
      <c r="E49" s="18">
        <f>C49*D49/100</f>
        <v>7.3988224794759283</v>
      </c>
      <c r="F49" s="21"/>
      <c r="G49" s="55"/>
      <c r="H49" s="90" t="s">
        <v>34</v>
      </c>
      <c r="I49" s="90"/>
      <c r="J49" s="65">
        <v>1.4999999999999999E-7</v>
      </c>
      <c r="K49" s="90">
        <f>'LA-Ref 0.5'!K6</f>
        <v>3.15</v>
      </c>
      <c r="L49" s="90">
        <f>'LA-Ref 0.5'!L6</f>
        <v>2166.0790000000002</v>
      </c>
      <c r="M49" s="5">
        <f>$F$63</f>
        <v>52.278922205668209</v>
      </c>
      <c r="N49" s="6">
        <f>100*J49*K49*(L49*0.00000001^3)^2*M49/INDEX('Reference-aQuartz'!$H$4:$H$17,MATCH($B$44,'Reference-aQuartz'!$A$4:$A$17,0))</f>
        <v>0.14342657978974122</v>
      </c>
      <c r="O49" s="32">
        <f>P49*100/65</f>
        <v>0.28685315957948243</v>
      </c>
      <c r="P49" s="32">
        <f t="shared" ref="P49:P61" si="13">N49*(1+$E$45)</f>
        <v>0.18645455372666359</v>
      </c>
      <c r="Q49" s="69"/>
      <c r="R49" s="110" t="s">
        <v>79</v>
      </c>
      <c r="S49" s="100">
        <f>('LA-Ref 0.5'!P6+'LA-Ref 0.5'!P7)*0.65</f>
        <v>42.364846282241693</v>
      </c>
      <c r="T49" s="100">
        <f>P49+P50</f>
        <v>0.18645455372666359</v>
      </c>
      <c r="U49" s="102">
        <f>(S49-T49)/S49</f>
        <v>0.99559883794964177</v>
      </c>
      <c r="V49" s="30">
        <f>(U49*S49+U51*S51+U52*S52+U53*S53)/S54</f>
        <v>0.96365082356472032</v>
      </c>
    </row>
    <row r="50" spans="1:22" x14ac:dyDescent="0.25">
      <c r="A50" s="1" t="s">
        <v>54</v>
      </c>
      <c r="B50" s="12">
        <f>0.65*'LA-Ref 0.5'!B7+0.35*B7</f>
        <v>4.8849999999999998</v>
      </c>
      <c r="C50" s="18">
        <f t="shared" ref="C50:C60" si="14">B50*(100-B$39)/B$41</f>
        <v>4.8871709821532754</v>
      </c>
      <c r="D50" s="18">
        <f>INDEX(MAC!$H$3:$H$16,MATCH($A50,MAC!$A$3:$A$16,0))</f>
        <v>31.664851266660783</v>
      </c>
      <c r="E50" s="18">
        <f t="shared" ref="E50:E61" si="15">C50*D50/100</f>
        <v>1.5475154226462395</v>
      </c>
      <c r="F50" s="21"/>
      <c r="G50" s="55"/>
      <c r="H50" s="90" t="s">
        <v>35</v>
      </c>
      <c r="I50" s="90">
        <v>94742</v>
      </c>
      <c r="J50" s="90">
        <v>0</v>
      </c>
      <c r="K50" s="90">
        <f>'LA-Ref 0.5'!K7</f>
        <v>3.16</v>
      </c>
      <c r="L50" s="90">
        <f>'LA-Ref 0.5'!L7</f>
        <v>4316.1279999999997</v>
      </c>
      <c r="M50" s="5">
        <f t="shared" ref="M50:M61" si="16">$F$63</f>
        <v>52.278922205668209</v>
      </c>
      <c r="N50" s="6">
        <f>100*J50*K50*(L50*0.00000001^3)^2*M50/INDEX('Reference-aQuartz'!$H$4:$H$17,MATCH($B$44,'Reference-aQuartz'!$A$4:$A$17,0))</f>
        <v>0</v>
      </c>
      <c r="O50" s="32">
        <f t="shared" ref="O50:O61" si="17">P50*100/65</f>
        <v>0</v>
      </c>
      <c r="P50" s="32">
        <f t="shared" si="13"/>
        <v>0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0.5'!B8+0.35*B8</f>
        <v>3.0609999999999999</v>
      </c>
      <c r="C51" s="18">
        <f t="shared" si="14"/>
        <v>3.0623603636379073</v>
      </c>
      <c r="D51" s="18">
        <f>INDEX(MAC!$H$3:$H$16,MATCH($A51,MAC!$A$3:$A$16,0))</f>
        <v>214.68463619455559</v>
      </c>
      <c r="E51" s="18">
        <f t="shared" si="15"/>
        <v>6.5744172056423107</v>
      </c>
      <c r="F51" s="21"/>
      <c r="G51" s="55"/>
      <c r="H51" s="90" t="s">
        <v>36</v>
      </c>
      <c r="I51" s="90">
        <v>81096</v>
      </c>
      <c r="J51" s="65">
        <v>2.8209999999999999E-5</v>
      </c>
      <c r="K51" s="90">
        <f>'LA-Ref 0.5'!K8</f>
        <v>3.29</v>
      </c>
      <c r="L51" s="90">
        <f>'LA-Ref 0.5'!L8</f>
        <v>347.22930000000002</v>
      </c>
      <c r="M51" s="5">
        <f t="shared" si="16"/>
        <v>52.278922205668209</v>
      </c>
      <c r="N51" s="6">
        <f>100*J51*K51*(L51*0.00000001^3)^2*M51/INDEX('Reference-aQuartz'!$H$4:$H$17,MATCH($B$44,'Reference-aQuartz'!$A$4:$A$17,0))</f>
        <v>0.72395397864008237</v>
      </c>
      <c r="O51" s="32">
        <f t="shared" si="17"/>
        <v>1.4479079572801647</v>
      </c>
      <c r="P51" s="32">
        <f t="shared" si="13"/>
        <v>0.94114017223210711</v>
      </c>
      <c r="Q51" s="69"/>
      <c r="R51" s="89" t="s">
        <v>80</v>
      </c>
      <c r="S51" s="69">
        <f>'LA-Ref 0.5'!P8*0.65</f>
        <v>6.6266164042793037</v>
      </c>
      <c r="T51" s="69">
        <f>P51</f>
        <v>0.94114017223210711</v>
      </c>
      <c r="U51" s="34">
        <f>(S51-T51)/S51</f>
        <v>0.85797575794121084</v>
      </c>
    </row>
    <row r="52" spans="1:22" x14ac:dyDescent="0.25">
      <c r="A52" s="1" t="s">
        <v>0</v>
      </c>
      <c r="B52" s="12">
        <f>0.65*'LA-Ref 0.5'!B9+0.35*B9</f>
        <v>2.0499999999999998</v>
      </c>
      <c r="C52" s="18">
        <f t="shared" si="14"/>
        <v>2.0509110569936979</v>
      </c>
      <c r="D52" s="18">
        <f>INDEX(MAC!$H$3:$H$16,MATCH($A52,MAC!$A$3:$A$16,0))</f>
        <v>28.686693628423974</v>
      </c>
      <c r="E52" s="18">
        <f t="shared" si="15"/>
        <v>0.5883385715112539</v>
      </c>
      <c r="F52" s="21"/>
      <c r="G52" s="55"/>
      <c r="H52" s="90" t="s">
        <v>37</v>
      </c>
      <c r="I52" s="90">
        <v>1841</v>
      </c>
      <c r="J52" s="90">
        <v>0</v>
      </c>
      <c r="K52" s="90">
        <f>'LA-Ref 0.5'!K9</f>
        <v>3.04</v>
      </c>
      <c r="L52" s="90">
        <f>'LA-Ref 0.5'!L9</f>
        <v>3541.5859999999998</v>
      </c>
      <c r="M52" s="5">
        <f t="shared" si="16"/>
        <v>52.278922205668209</v>
      </c>
      <c r="N52" s="6">
        <f>100*J52*K52*(L52*0.00000001^3)^2*M52/INDEX('Reference-aQuartz'!$H$4:$H$17,MATCH($B$44,'Reference-aQuartz'!$A$4:$A$17,0))</f>
        <v>0</v>
      </c>
      <c r="O52" s="32">
        <f t="shared" si="17"/>
        <v>0</v>
      </c>
      <c r="P52" s="32">
        <f t="shared" si="13"/>
        <v>0</v>
      </c>
      <c r="Q52" s="69"/>
      <c r="R52" s="89" t="s">
        <v>37</v>
      </c>
      <c r="S52" s="69">
        <f>'LA-Ref 0.5'!P9*0.65</f>
        <v>2.3605659551948133</v>
      </c>
      <c r="T52" s="69">
        <f>P52</f>
        <v>0</v>
      </c>
      <c r="U52" s="34">
        <f t="shared" ref="U52:U53" si="18">(S52-T52)/S52</f>
        <v>1</v>
      </c>
    </row>
    <row r="53" spans="1:22" x14ac:dyDescent="0.25">
      <c r="A53" s="1" t="s">
        <v>1</v>
      </c>
      <c r="B53" s="12">
        <f>0.65*'LA-Ref 0.5'!B10+0.35*B10</f>
        <v>52.024999999999999</v>
      </c>
      <c r="C53" s="18">
        <f t="shared" si="14"/>
        <v>52.048120848827871</v>
      </c>
      <c r="D53" s="18">
        <f>INDEX(MAC!$H$3:$H$16,MATCH($A53,MAC!$A$3:$A$16,0))</f>
        <v>124.77929454143408</v>
      </c>
      <c r="E53" s="18">
        <f t="shared" si="15"/>
        <v>64.945278017240483</v>
      </c>
      <c r="F53" s="21"/>
      <c r="G53" s="55"/>
      <c r="H53" s="90" t="s">
        <v>38</v>
      </c>
      <c r="I53" s="90">
        <v>98836</v>
      </c>
      <c r="J53" s="65">
        <v>1.696E-5</v>
      </c>
      <c r="K53" s="90">
        <f>'LA-Ref 0.5'!K10</f>
        <v>3.75</v>
      </c>
      <c r="L53" s="90">
        <f>'LA-Ref 0.5'!L10</f>
        <v>430.91660000000002</v>
      </c>
      <c r="M53" s="5">
        <f t="shared" si="16"/>
        <v>52.278922205668209</v>
      </c>
      <c r="N53" s="6">
        <f>100*J53*K53*(L53*0.00000001^3)^2*M53/INDEX('Reference-aQuartz'!$H$4:$H$17,MATCH($B$44,'Reference-aQuartz'!$A$4:$A$17,0))</f>
        <v>0.76405181232888042</v>
      </c>
      <c r="O53" s="32">
        <f t="shared" si="17"/>
        <v>1.5281036246577608</v>
      </c>
      <c r="P53" s="32">
        <f t="shared" si="13"/>
        <v>0.99326735602754457</v>
      </c>
      <c r="Q53" s="69"/>
      <c r="R53" s="89" t="s">
        <v>81</v>
      </c>
      <c r="S53" s="69">
        <f>'LA-Ref 0.5'!P10*0.65</f>
        <v>6.9948801462326609</v>
      </c>
      <c r="T53" s="69">
        <f>P53</f>
        <v>0.99326735602754457</v>
      </c>
      <c r="U53" s="34">
        <f t="shared" si="18"/>
        <v>0.85800080412206869</v>
      </c>
    </row>
    <row r="54" spans="1:22" x14ac:dyDescent="0.25">
      <c r="A54" s="1" t="s">
        <v>56</v>
      </c>
      <c r="B54" s="12">
        <f>0.65*'LA-Ref 0.5'!B11+0.35*B11</f>
        <v>2.8194999999999997</v>
      </c>
      <c r="C54" s="18">
        <f t="shared" si="14"/>
        <v>2.8207530366798688</v>
      </c>
      <c r="D54" s="18">
        <f>INDEX(MAC!$H$3:$H$16,MATCH($A54,MAC!$A$3:$A$16,0))</f>
        <v>122.32505440840811</v>
      </c>
      <c r="E54" s="18">
        <f t="shared" si="15"/>
        <v>3.4504876868454732</v>
      </c>
      <c r="F54" s="21"/>
      <c r="G54" s="55"/>
      <c r="H54" s="90" t="s">
        <v>40</v>
      </c>
      <c r="I54" s="90">
        <v>202220</v>
      </c>
      <c r="J54" s="90">
        <v>1.6994700000000001E-2</v>
      </c>
      <c r="K54" s="90">
        <v>2.2400000000000002</v>
      </c>
      <c r="L54" s="90">
        <v>54.943129999999996</v>
      </c>
      <c r="M54" s="5">
        <f t="shared" si="16"/>
        <v>52.278922205668209</v>
      </c>
      <c r="N54" s="6">
        <f>100*J54*K54*(L54*0.00000001^3)^2*M54/INDEX('Reference-aQuartz'!$H$4:$H$17,MATCH($B$44,'Reference-aQuartz'!$A$4:$A$17,0))</f>
        <v>7.4347703748695819</v>
      </c>
      <c r="O54" s="32">
        <f t="shared" si="17"/>
        <v>14.869540749739164</v>
      </c>
      <c r="P54" s="32">
        <f t="shared" si="13"/>
        <v>9.6652014873304566</v>
      </c>
      <c r="Q54" s="69">
        <v>11.8</v>
      </c>
      <c r="R54" s="89" t="s">
        <v>84</v>
      </c>
      <c r="S54" s="69">
        <f>SUM(S49:S53)</f>
        <v>58.346908787948472</v>
      </c>
      <c r="T54" s="69">
        <f>SUM(T49:T53)</f>
        <v>2.1208620819863153</v>
      </c>
    </row>
    <row r="55" spans="1:22" x14ac:dyDescent="0.25">
      <c r="A55" s="1" t="s">
        <v>57</v>
      </c>
      <c r="B55" s="12">
        <f>0.65*'LA-Ref 0.5'!B12+0.35*B12</f>
        <v>6.4720000000000004</v>
      </c>
      <c r="C55" s="18">
        <f t="shared" si="14"/>
        <v>6.4748762735918124</v>
      </c>
      <c r="D55" s="18">
        <f>INDEX(MAC!$H$3:$H$16,MATCH($A55,MAC!$A$3:$A$16,0))</f>
        <v>44.261072668681777</v>
      </c>
      <c r="E55" s="18">
        <f t="shared" si="15"/>
        <v>2.8658496926617065</v>
      </c>
      <c r="F55" s="21"/>
      <c r="G55" s="55"/>
      <c r="H55" s="90" t="s">
        <v>25</v>
      </c>
      <c r="I55" s="90">
        <v>73446</v>
      </c>
      <c r="J55" s="65">
        <v>9.0660000000000003E-5</v>
      </c>
      <c r="K55" s="90">
        <v>2.71</v>
      </c>
      <c r="L55" s="90">
        <v>367.58089999999999</v>
      </c>
      <c r="M55" s="5">
        <f t="shared" si="16"/>
        <v>52.278922205668209</v>
      </c>
      <c r="N55" s="6">
        <f>100*J55*K55*(L55*0.00000001^3)^2*M55/INDEX('Reference-aQuartz'!$H$4:$H$17,MATCH($B$44,'Reference-aQuartz'!$A$4:$A$17,0))</f>
        <v>2.1476827287015321</v>
      </c>
      <c r="O55" s="32">
        <f t="shared" si="17"/>
        <v>4.2953654574030642</v>
      </c>
      <c r="P55" s="32">
        <f t="shared" si="13"/>
        <v>2.7919875473119919</v>
      </c>
      <c r="Q55" s="69">
        <v>4.5999999999999996</v>
      </c>
    </row>
    <row r="56" spans="1:22" x14ac:dyDescent="0.25">
      <c r="A56" s="1" t="s">
        <v>14</v>
      </c>
      <c r="B56" s="12">
        <f>0.65*'LA-Ref 0.5'!B13+0.35*B13</f>
        <v>0.11600000000000001</v>
      </c>
      <c r="C56" s="18">
        <f t="shared" si="14"/>
        <v>0.11605155249330194</v>
      </c>
      <c r="D56" s="18">
        <f>INDEX(MAC!$H$3:$H$16,MATCH($A56,MAC!$A$3:$A$16,0))</f>
        <v>97.328178229861322</v>
      </c>
      <c r="E56" s="18">
        <f t="shared" si="15"/>
        <v>0.11295086184920197</v>
      </c>
      <c r="F56" s="21"/>
      <c r="G56" s="55"/>
      <c r="H56" s="90" t="s">
        <v>21</v>
      </c>
      <c r="I56" s="90">
        <v>174</v>
      </c>
      <c r="J56" s="90">
        <v>1.2823699999999999E-3</v>
      </c>
      <c r="K56" s="90">
        <v>2.65</v>
      </c>
      <c r="L56" s="90">
        <v>112.9611</v>
      </c>
      <c r="M56" s="5">
        <f t="shared" si="16"/>
        <v>52.278922205668209</v>
      </c>
      <c r="N56" s="6">
        <f>100*J56*K56*(L56*0.00000001^3)^2*M56/INDEX('Reference-aQuartz'!$H$4:$H$17,MATCH($B$44,'Reference-aQuartz'!$A$4:$A$17,0))</f>
        <v>2.8054097019874327</v>
      </c>
      <c r="O56" s="32">
        <f t="shared" si="17"/>
        <v>5.6108194039748662</v>
      </c>
      <c r="P56" s="32">
        <f t="shared" si="13"/>
        <v>3.6470326125836627</v>
      </c>
      <c r="Q56" s="69"/>
    </row>
    <row r="57" spans="1:22" x14ac:dyDescent="0.25">
      <c r="A57" s="1" t="s">
        <v>58</v>
      </c>
      <c r="B57" s="12">
        <f>0.65*'LA-Ref 0.5'!B14+0.35*B14</f>
        <v>0.46299999999999997</v>
      </c>
      <c r="C57" s="18">
        <f t="shared" si="14"/>
        <v>0.46320576555516202</v>
      </c>
      <c r="D57" s="18">
        <f>INDEX(MAC!$H$3:$H$16,MATCH($A57,MAC!$A$3:$A$16,0))</f>
        <v>19.10926020222594</v>
      </c>
      <c r="E57" s="18">
        <f t="shared" si="15"/>
        <v>8.8515195011648562E-2</v>
      </c>
      <c r="F57" s="21"/>
      <c r="G57" s="55"/>
      <c r="H57" s="90" t="s">
        <v>87</v>
      </c>
      <c r="I57" s="90">
        <v>155395</v>
      </c>
      <c r="J57" s="65">
        <v>1.34E-5</v>
      </c>
      <c r="K57" s="90">
        <v>1.78</v>
      </c>
      <c r="L57" s="90">
        <v>2339.77</v>
      </c>
      <c r="M57" s="5">
        <f t="shared" si="16"/>
        <v>52.278922205668209</v>
      </c>
      <c r="N57" s="6">
        <f>100*J57*K57*(L57*0.00000001^3)^2*M57/INDEX('Reference-aQuartz'!$H$4:$H$17,MATCH($B$44,'Reference-aQuartz'!$A$4:$A$17,0))</f>
        <v>8.4479314791151001</v>
      </c>
      <c r="O57" s="32">
        <f t="shared" si="17"/>
        <v>16.8958629582302</v>
      </c>
      <c r="P57" s="32">
        <f t="shared" si="13"/>
        <v>10.982310922849631</v>
      </c>
      <c r="Q57" s="69"/>
    </row>
    <row r="58" spans="1:22" x14ac:dyDescent="0.25">
      <c r="A58" s="1" t="s">
        <v>59</v>
      </c>
      <c r="B58" s="12">
        <f>0.65*'LA-Ref 0.5'!B15+0.35*B15</f>
        <v>0.22500000000000001</v>
      </c>
      <c r="C58" s="18">
        <f t="shared" si="14"/>
        <v>0.22509999406028394</v>
      </c>
      <c r="D58" s="18">
        <f>INDEX(MAC!$H$3:$H$16,MATCH($A58,MAC!$A$3:$A$16,0))</f>
        <v>124.47726788956365</v>
      </c>
      <c r="E58" s="18">
        <f t="shared" si="15"/>
        <v>0.28019832262581151</v>
      </c>
      <c r="F58" s="21"/>
      <c r="G58" s="55"/>
      <c r="H58" s="90" t="s">
        <v>88</v>
      </c>
      <c r="I58" s="90">
        <v>81963</v>
      </c>
      <c r="J58" s="90">
        <v>0</v>
      </c>
      <c r="K58" s="90"/>
      <c r="L58" s="90"/>
      <c r="M58" s="5">
        <f t="shared" si="16"/>
        <v>52.278922205668209</v>
      </c>
      <c r="N58" s="6">
        <f>100*J58*K58*(L58*0.00000001^3)^2*M58/INDEX('Reference-aQuartz'!$H$4:$H$17,MATCH($B$44,'Reference-aQuartz'!$A$4:$A$17,0))</f>
        <v>0</v>
      </c>
      <c r="O58" s="32">
        <f t="shared" si="17"/>
        <v>0</v>
      </c>
      <c r="P58" s="32">
        <f t="shared" si="13"/>
        <v>0</v>
      </c>
      <c r="Q58" s="69"/>
    </row>
    <row r="59" spans="1:22" x14ac:dyDescent="0.25">
      <c r="A59" s="1" t="s">
        <v>60</v>
      </c>
      <c r="B59" s="12">
        <f>0.65*'LA-Ref 0.5'!B16+0.35*B16</f>
        <v>1.2294999999999998</v>
      </c>
      <c r="C59" s="18">
        <f t="shared" si="14"/>
        <v>1.2300464119871959</v>
      </c>
      <c r="D59" s="18">
        <f>INDEX(MAC!$H$3:$H$16,MATCH($A59,MAC!$A$3:$A$16,0))</f>
        <v>39.431437267071992</v>
      </c>
      <c r="E59" s="18">
        <f t="shared" si="15"/>
        <v>0.48502497929860106</v>
      </c>
      <c r="F59" s="21"/>
      <c r="G59" s="55"/>
      <c r="H59" s="90" t="s">
        <v>89</v>
      </c>
      <c r="I59" s="90">
        <v>59327</v>
      </c>
      <c r="J59" s="90">
        <v>0</v>
      </c>
      <c r="K59" s="90"/>
      <c r="L59" s="90"/>
      <c r="M59" s="5">
        <f t="shared" si="16"/>
        <v>52.278922205668209</v>
      </c>
      <c r="N59" s="6">
        <f>100*J59*K59*(L59*0.00000001^3)^2*M59/INDEX('Reference-aQuartz'!$H$4:$H$17,MATCH($B$44,'Reference-aQuartz'!$A$4:$A$17,0))</f>
        <v>0</v>
      </c>
      <c r="O59" s="32">
        <f t="shared" si="17"/>
        <v>0</v>
      </c>
      <c r="P59" s="32">
        <f t="shared" si="13"/>
        <v>0</v>
      </c>
      <c r="Q59" s="69"/>
    </row>
    <row r="60" spans="1:22" x14ac:dyDescent="0.25">
      <c r="A60" s="19" t="s">
        <v>23</v>
      </c>
      <c r="B60" s="12">
        <f>0.65*'LA-Ref 0.5'!B17+0.35*B17</f>
        <v>0.33459999999999995</v>
      </c>
      <c r="C60" s="18">
        <f t="shared" si="14"/>
        <v>0.33474870227809334</v>
      </c>
      <c r="D60" s="18">
        <f>INDEX(MAC!$H$3:$H$16,MATCH($A60,MAC!$A$3:$A$16,0))</f>
        <v>197.69998688868492</v>
      </c>
      <c r="E60" s="18">
        <f t="shared" si="15"/>
        <v>0.66179814051383345</v>
      </c>
      <c r="F60" s="21"/>
      <c r="G60" s="55"/>
      <c r="H60" s="90" t="s">
        <v>90</v>
      </c>
      <c r="I60" s="90">
        <v>2105252</v>
      </c>
      <c r="J60" s="65">
        <v>1.0699999999999999E-6</v>
      </c>
      <c r="K60" s="90">
        <v>1.83</v>
      </c>
      <c r="L60" s="90">
        <v>1403.7670000000001</v>
      </c>
      <c r="M60" s="5">
        <f t="shared" si="16"/>
        <v>52.278922205668209</v>
      </c>
      <c r="N60" s="6">
        <f>100*J60*K60*(L60*0.00000001^3)^2*M60/INDEX('Reference-aQuartz'!$H$4:$H$17,MATCH($B$44,'Reference-aQuartz'!$A$4:$A$17,0))</f>
        <v>0.24963424984943811</v>
      </c>
      <c r="O60" s="32">
        <f t="shared" si="17"/>
        <v>0.49926849969887616</v>
      </c>
      <c r="P60" s="32">
        <f t="shared" si="13"/>
        <v>0.32452452480426952</v>
      </c>
      <c r="Q60" s="69"/>
    </row>
    <row r="61" spans="1:22" x14ac:dyDescent="0.25">
      <c r="A61" s="1" t="s">
        <v>66</v>
      </c>
      <c r="B61" s="12">
        <f>0.65*'LA-Ref 0.5'!B18+0.35*B18</f>
        <v>5.6775000000000002</v>
      </c>
      <c r="C61" s="18">
        <f>B61</f>
        <v>5.6775000000000002</v>
      </c>
      <c r="D61" s="18">
        <f>INDEX(MAC!$H$3:$H$16,MATCH($A61,MAC!$A$3:$A$16,0))</f>
        <v>9.592279079279237</v>
      </c>
      <c r="E61" s="18">
        <f t="shared" si="15"/>
        <v>0.54460164472607875</v>
      </c>
      <c r="F61" s="21"/>
      <c r="G61" s="55"/>
      <c r="H61" s="90" t="s">
        <v>44</v>
      </c>
      <c r="I61" s="90">
        <v>15876</v>
      </c>
      <c r="J61" s="65">
        <v>6.7700000000000004E-6</v>
      </c>
      <c r="K61" s="90">
        <v>3</v>
      </c>
      <c r="L61" s="90">
        <v>301.8116</v>
      </c>
      <c r="M61" s="5">
        <f t="shared" si="16"/>
        <v>52.278922205668209</v>
      </c>
      <c r="N61" s="6">
        <f>100*J61*K61*(L61*0.00000001^3)^2*M61/INDEX('Reference-aQuartz'!$H$4:$H$17,MATCH($B$44,'Reference-aQuartz'!$A$4:$A$17,0))</f>
        <v>0.11969087013806823</v>
      </c>
      <c r="O61" s="32">
        <f t="shared" si="17"/>
        <v>0.23938174027613646</v>
      </c>
      <c r="P61" s="32">
        <f t="shared" si="13"/>
        <v>0.1555981311794887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107" t="s">
        <v>7</v>
      </c>
      <c r="I62" s="108"/>
      <c r="J62" s="108"/>
      <c r="K62" s="108"/>
      <c r="L62" s="108"/>
      <c r="M62" s="109"/>
      <c r="N62" s="6">
        <f>SUM(N49:N61)</f>
        <v>22.836551775419856</v>
      </c>
      <c r="O62" s="31">
        <f t="shared" ref="O62:P62" si="19">SUM(O49:O61)</f>
        <v>45.673103550839713</v>
      </c>
      <c r="P62" s="31">
        <f t="shared" si="19"/>
        <v>29.687517308045813</v>
      </c>
    </row>
    <row r="63" spans="1:22" x14ac:dyDescent="0.25">
      <c r="A63" s="25" t="s">
        <v>7</v>
      </c>
      <c r="B63" s="40">
        <f>SUM(B49:B60)</f>
        <v>94.280599999999978</v>
      </c>
      <c r="C63" s="40">
        <f>SUM(C49:C61)</f>
        <v>100.00000000000001</v>
      </c>
      <c r="D63" s="25" t="s">
        <v>29</v>
      </c>
      <c r="E63" s="56">
        <f>SUM(E49:E61)</f>
        <v>89.543798220048572</v>
      </c>
      <c r="F63" s="57">
        <f>E63*(1-C45)+D62*C45</f>
        <v>52.278922205668209</v>
      </c>
      <c r="H63" s="107" t="s">
        <v>28</v>
      </c>
      <c r="I63" s="108"/>
      <c r="J63" s="108"/>
      <c r="K63" s="108"/>
      <c r="L63" s="108"/>
      <c r="M63" s="109"/>
      <c r="N63" s="6">
        <f>100-N62</f>
        <v>77.163448224580151</v>
      </c>
      <c r="O63" s="31">
        <f>100-O62</f>
        <v>54.326896449160287</v>
      </c>
      <c r="P63" s="31">
        <f>100-P62</f>
        <v>70.312482691954187</v>
      </c>
    </row>
  </sheetData>
  <mergeCells count="14">
    <mergeCell ref="H19:M19"/>
    <mergeCell ref="H18:M18"/>
    <mergeCell ref="T27:T28"/>
    <mergeCell ref="T49:T50"/>
    <mergeCell ref="H63:M63"/>
    <mergeCell ref="H62:M62"/>
    <mergeCell ref="H41:M41"/>
    <mergeCell ref="S49:S50"/>
    <mergeCell ref="H42:M42"/>
    <mergeCell ref="U49:U50"/>
    <mergeCell ref="R49:R50"/>
    <mergeCell ref="R27:R28"/>
    <mergeCell ref="S27:S28"/>
    <mergeCell ref="U27:U28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D3FE5-E74D-485F-9CA5-253D21541F7E}">
  <sheetPr>
    <tabColor theme="9"/>
  </sheetPr>
  <dimension ref="A1:AV64"/>
  <sheetViews>
    <sheetView zoomScaleNormal="100" workbookViewId="0">
      <selection activeCell="O22" sqref="O22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5.4257812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1.42578125" style="20" bestFit="1" customWidth="1"/>
    <col min="47" max="16384" width="8.85546875" style="20"/>
  </cols>
  <sheetData>
    <row r="1" spans="1:48" x14ac:dyDescent="0.25">
      <c r="A1" s="42" t="s">
        <v>47</v>
      </c>
      <c r="B1" s="43">
        <v>44698</v>
      </c>
      <c r="H1" s="38" t="s">
        <v>20</v>
      </c>
      <c r="I1" s="38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>
        <v>3.2</v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73" t="s">
        <v>8</v>
      </c>
      <c r="B4" s="73" t="s">
        <v>30</v>
      </c>
      <c r="C4" s="73" t="s">
        <v>31</v>
      </c>
      <c r="D4" s="73" t="s">
        <v>68</v>
      </c>
      <c r="E4" s="73" t="s">
        <v>69</v>
      </c>
      <c r="H4" s="73" t="s">
        <v>9</v>
      </c>
      <c r="I4" s="73" t="s">
        <v>86</v>
      </c>
      <c r="J4" s="73" t="s">
        <v>2</v>
      </c>
      <c r="K4" s="73" t="s">
        <v>3</v>
      </c>
      <c r="L4" s="73" t="s">
        <v>4</v>
      </c>
      <c r="M4" s="73" t="s">
        <v>5</v>
      </c>
      <c r="N4" s="5" t="s">
        <v>15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73" t="s">
        <v>11</v>
      </c>
      <c r="B5" s="73" t="s">
        <v>93</v>
      </c>
      <c r="C5" s="73" t="s">
        <v>93</v>
      </c>
      <c r="D5" s="73" t="s">
        <v>13</v>
      </c>
      <c r="E5" s="73" t="s">
        <v>13</v>
      </c>
      <c r="H5" s="73" t="s">
        <v>11</v>
      </c>
      <c r="I5" s="73" t="s">
        <v>11</v>
      </c>
      <c r="J5" s="73" t="s">
        <v>11</v>
      </c>
      <c r="K5" s="73" t="s">
        <v>16</v>
      </c>
      <c r="L5" s="73" t="s">
        <v>19</v>
      </c>
      <c r="M5" s="73" t="s">
        <v>13</v>
      </c>
      <c r="N5" s="5" t="s">
        <v>12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46.6</v>
      </c>
      <c r="C6" s="18">
        <f t="shared" ref="C6:C17" si="0">B6*(100-B$18)/B$19</f>
        <v>46.726933972543037</v>
      </c>
      <c r="D6" s="18">
        <f>INDEX(MAC!$H$3:$H$16,MATCH('LA-CC1'!$A6,MAC!$A$3:$A$16,0))</f>
        <v>35.900659077291785</v>
      </c>
      <c r="E6" s="18">
        <f>C6*D6/100</f>
        <v>16.77527726275391</v>
      </c>
      <c r="F6" s="39"/>
      <c r="G6" s="39"/>
      <c r="H6" s="73" t="s">
        <v>21</v>
      </c>
      <c r="I6" s="73">
        <v>174</v>
      </c>
      <c r="J6" s="73">
        <v>1.4061099999999999E-3</v>
      </c>
      <c r="K6" s="73">
        <v>2.65</v>
      </c>
      <c r="L6" s="73">
        <v>113.03570000000001</v>
      </c>
      <c r="M6" s="5">
        <f t="shared" ref="M6:M12" si="1">$E$19</f>
        <v>62.294476729833505</v>
      </c>
      <c r="N6" s="6">
        <f>100*J6*K6*(L6*0.00000001^3)^2*M6/INDEX('Reference-aQuartz'!$H$4:$H$17,MATCH($B$1,'Reference-aQuartz'!$A$4:$A$17,0))</f>
        <v>5.1723401920819052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17.399999999999999</v>
      </c>
      <c r="C7" s="18">
        <f t="shared" si="0"/>
        <v>17.447395946829374</v>
      </c>
      <c r="D7" s="18">
        <f>INDEX(MAC!$H$3:$H$16,MATCH('LA-CC1'!$A7,MAC!$A$3:$A$16,0))</f>
        <v>31.664851266660783</v>
      </c>
      <c r="E7" s="18">
        <f t="shared" ref="E7:E18" si="2">C7*D7/100</f>
        <v>5.5246919764689233</v>
      </c>
      <c r="F7" s="39"/>
      <c r="G7" s="39"/>
      <c r="H7" s="73" t="s">
        <v>25</v>
      </c>
      <c r="I7" s="73">
        <v>73446</v>
      </c>
      <c r="J7" s="73">
        <v>2.2727000000000001E-4</v>
      </c>
      <c r="K7" s="73">
        <v>2.71</v>
      </c>
      <c r="L7" s="73">
        <v>367.96800000000002</v>
      </c>
      <c r="M7" s="5">
        <f t="shared" si="1"/>
        <v>62.294476729833505</v>
      </c>
      <c r="N7" s="6">
        <f>100*J7*K7*(L7*0.00000001^3)^2*M7/INDEX('Reference-aQuartz'!$H$4:$H$17,MATCH($B$1,'Reference-aQuartz'!$A$4:$A$17,0))</f>
        <v>9.0598740809363623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9.58</v>
      </c>
      <c r="C8" s="18">
        <f t="shared" si="0"/>
        <v>9.606095009806058</v>
      </c>
      <c r="D8" s="18">
        <f>INDEX(MAC!$H$3:$H$16,MATCH('LA-CC1'!$A8,MAC!$A$3:$A$16,0))</f>
        <v>214.68463619455559</v>
      </c>
      <c r="E8" s="18">
        <f t="shared" si="2"/>
        <v>20.622810124305499</v>
      </c>
      <c r="F8" s="39"/>
      <c r="G8" s="39"/>
      <c r="H8" s="73" t="s">
        <v>42</v>
      </c>
      <c r="I8" s="73">
        <v>201096</v>
      </c>
      <c r="J8" s="73">
        <f>0.00000749</f>
        <v>7.4900000000000003E-6</v>
      </c>
      <c r="K8" s="73">
        <v>5.25</v>
      </c>
      <c r="L8" s="73">
        <v>303.25839999999999</v>
      </c>
      <c r="M8" s="5">
        <f t="shared" si="1"/>
        <v>62.294476729833505</v>
      </c>
      <c r="N8" s="6">
        <f>100*J8*K8*(L8*0.00000001^3)^2*M8/INDEX('Reference-aQuartz'!$H$4:$H$17,MATCH($B$1,'Reference-aQuartz'!$A$4:$A$17,0))</f>
        <v>0.39287776809310876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2.5</v>
      </c>
      <c r="C9" s="18">
        <f t="shared" si="0"/>
        <v>2.5068097624754846</v>
      </c>
      <c r="D9" s="18">
        <f>INDEX(MAC!$H$3:$H$16,MATCH('LA-CC1'!$A9,MAC!$A$3:$A$16,0))</f>
        <v>28.686693628423974</v>
      </c>
      <c r="E9" s="18">
        <f t="shared" si="2"/>
        <v>0.71912083640876501</v>
      </c>
      <c r="F9" s="39"/>
      <c r="G9" s="39"/>
      <c r="H9" s="73" t="s">
        <v>44</v>
      </c>
      <c r="I9" s="73">
        <v>15876</v>
      </c>
      <c r="J9" s="73">
        <f>0.0000142</f>
        <v>1.42E-5</v>
      </c>
      <c r="K9" s="73">
        <v>2.95</v>
      </c>
      <c r="L9" s="73">
        <v>306.9511</v>
      </c>
      <c r="M9" s="5">
        <f t="shared" si="1"/>
        <v>62.294476729833505</v>
      </c>
      <c r="N9" s="6">
        <f>100*J9*K9*(L9*0.00000001^3)^2*M9/INDEX('Reference-aQuartz'!$H$4:$H$17,MATCH($B$1,'Reference-aQuartz'!$A$4:$A$17,0))</f>
        <v>0.4287848208372686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9.6999999999999993</v>
      </c>
      <c r="C10" s="18">
        <f t="shared" si="0"/>
        <v>9.7264218784048797</v>
      </c>
      <c r="D10" s="18">
        <f>INDEX(MAC!$H$3:$H$16,MATCH('LA-CC1'!$A10,MAC!$A$3:$A$16,0))</f>
        <v>124.77929454143408</v>
      </c>
      <c r="E10" s="18">
        <f t="shared" si="2"/>
        <v>12.136560603997312</v>
      </c>
      <c r="F10" s="39"/>
      <c r="G10" s="39"/>
      <c r="H10" s="73" t="s">
        <v>27</v>
      </c>
      <c r="I10" s="73">
        <v>90144</v>
      </c>
      <c r="J10" s="73">
        <f>0.00001841</f>
        <v>1.8410000000000002E-5</v>
      </c>
      <c r="K10" s="73">
        <v>2.75</v>
      </c>
      <c r="L10" s="73">
        <v>954.99040000000002</v>
      </c>
      <c r="M10" s="5">
        <f t="shared" si="1"/>
        <v>62.294476729833505</v>
      </c>
      <c r="N10" s="6">
        <f>100*J10*K10*(L10*0.00000001^3)^2*M10/INDEX('Reference-aQuartz'!$H$4:$H$17,MATCH($B$1,'Reference-aQuartz'!$A$4:$A$17,0))</f>
        <v>5.0162035169828316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2.4700000000000002</v>
      </c>
      <c r="C11" s="18">
        <f t="shared" si="0"/>
        <v>2.4767280453257792</v>
      </c>
      <c r="D11" s="18">
        <f>INDEX(MAC!$H$3:$H$16,MATCH('LA-CC1'!$A11,MAC!$A$3:$A$16,0))</f>
        <v>122.32505440840811</v>
      </c>
      <c r="E11" s="18">
        <f t="shared" si="2"/>
        <v>3.029658928993062</v>
      </c>
      <c r="F11" s="39"/>
      <c r="G11" s="39"/>
      <c r="H11" s="73" t="s">
        <v>45</v>
      </c>
      <c r="I11" s="73">
        <v>158607</v>
      </c>
      <c r="J11" s="73">
        <f>0.00003178</f>
        <v>3.1779999999999997E-5</v>
      </c>
      <c r="K11" s="73">
        <v>2.6</v>
      </c>
      <c r="L11" s="73">
        <v>928.77210000000002</v>
      </c>
      <c r="M11" s="5">
        <f t="shared" si="1"/>
        <v>62.294476729833505</v>
      </c>
      <c r="N11" s="6">
        <f>100*J11*K11*(L11*0.00000001^3)^2*M11/INDEX('Reference-aQuartz'!$H$4:$H$17,MATCH($B$1,'Reference-aQuartz'!$A$4:$A$17,0))</f>
        <v>7.7434806389854121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0.97</v>
      </c>
      <c r="C12" s="18">
        <f t="shared" si="0"/>
        <v>0.97264218784048806</v>
      </c>
      <c r="D12" s="18">
        <f>INDEX(MAC!$H$3:$H$16,MATCH('LA-CC1'!$A12,MAC!$A$3:$A$16,0))</f>
        <v>44.261072668681777</v>
      </c>
      <c r="E12" s="18">
        <f t="shared" si="2"/>
        <v>0.43050186556633468</v>
      </c>
      <c r="F12" s="39"/>
      <c r="G12" s="39"/>
      <c r="H12" s="73" t="s">
        <v>46</v>
      </c>
      <c r="I12" s="73">
        <v>93097</v>
      </c>
      <c r="J12" s="73">
        <f>0.00004934</f>
        <v>4.9339999999999999E-5</v>
      </c>
      <c r="K12" s="73">
        <v>4.28</v>
      </c>
      <c r="L12" s="73">
        <v>62.033470000000001</v>
      </c>
      <c r="M12" s="5">
        <f t="shared" si="1"/>
        <v>62.294476729833505</v>
      </c>
      <c r="N12" s="6">
        <f>100*J12*K12*(L12*0.00000001^3)^2*M12/INDEX('Reference-aQuartz'!$H$4:$H$17,MATCH($B$1,'Reference-aQuartz'!$A$4:$A$17,0))</f>
        <v>8.8284755548682411E-2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0.09</v>
      </c>
      <c r="C13" s="18">
        <f t="shared" si="0"/>
        <v>9.0245151449117461E-2</v>
      </c>
      <c r="D13" s="18">
        <f>INDEX(MAC!$H$3:$H$16,MATCH('LA-CC1'!$A13,MAC!$A$3:$A$16,0))</f>
        <v>97.328178229861322</v>
      </c>
      <c r="E13" s="18">
        <f t="shared" si="2"/>
        <v>8.7833961846205316E-2</v>
      </c>
      <c r="F13" s="39"/>
      <c r="G13" s="39"/>
      <c r="H13" s="73"/>
      <c r="I13" s="73"/>
      <c r="J13" s="73"/>
      <c r="K13" s="73"/>
      <c r="L13" s="73"/>
      <c r="M13" s="5"/>
      <c r="N13" s="6">
        <f>100*J13*K13*(L13*0.00000001^3)^2*M13/INDEX('Reference-aQuartz'!$H$4:$H$17,MATCH($B$1,'Reference-aQuartz'!$A$4:$A$17,0))</f>
        <v>0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0.92</v>
      </c>
      <c r="C14" s="18">
        <f t="shared" si="0"/>
        <v>0.92250599259097854</v>
      </c>
      <c r="D14" s="18">
        <f>INDEX(MAC!$H$3:$H$16,MATCH('LA-CC1'!$A14,MAC!$A$3:$A$16,0))</f>
        <v>19.10926020222594</v>
      </c>
      <c r="E14" s="18">
        <f t="shared" si="2"/>
        <v>0.17628407050533723</v>
      </c>
      <c r="F14" s="39"/>
      <c r="G14" s="39"/>
      <c r="H14" s="73"/>
      <c r="I14" s="73"/>
      <c r="J14" s="73"/>
      <c r="K14" s="73"/>
      <c r="L14" s="73"/>
      <c r="M14" s="5"/>
      <c r="N14" s="6">
        <f>100*J14*K14*(L14*0.00000001^3)^2*M14/INDEX('Reference-aQuartz'!$H$4:$H$17,MATCH($B$1,'Reference-aQuartz'!$A$4:$A$17,0))</f>
        <v>0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0.97</v>
      </c>
      <c r="C15" s="18">
        <f t="shared" si="0"/>
        <v>0.97264218784048806</v>
      </c>
      <c r="D15" s="18">
        <f>INDEX(MAC!$H$3:$H$16,MATCH('LA-CC1'!$A15,MAC!$A$3:$A$16,0))</f>
        <v>124.47726788956365</v>
      </c>
      <c r="E15" s="18">
        <f t="shared" si="2"/>
        <v>1.2107184217651172</v>
      </c>
      <c r="F15" s="39"/>
      <c r="G15" s="39"/>
      <c r="H15" s="73"/>
      <c r="I15" s="73"/>
      <c r="J15" s="73"/>
      <c r="K15" s="73"/>
      <c r="L15" s="73"/>
      <c r="M15" s="5"/>
      <c r="N15" s="6">
        <f>100*J15*K15*(L15*0.00000001^3)^2*M15/INDEX('Reference-aQuartz'!$H$4:$H$17,MATCH($B$1,'Reference-aQuartz'!$A$4:$A$17,0))</f>
        <v>0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0.21</v>
      </c>
      <c r="C16" s="18">
        <f t="shared" si="0"/>
        <v>0.21057202004794073</v>
      </c>
      <c r="D16" s="18">
        <f>INDEX(MAC!$H$3:$H$16,MATCH('LA-CC1'!$A16,MAC!$A$3:$A$16,0))</f>
        <v>39.431437267071992</v>
      </c>
      <c r="E16" s="18">
        <f t="shared" si="2"/>
        <v>8.3031573987210019E-2</v>
      </c>
      <c r="F16" s="39"/>
      <c r="G16" s="39"/>
      <c r="H16" s="73"/>
      <c r="I16" s="73"/>
      <c r="J16" s="73"/>
      <c r="K16" s="73"/>
      <c r="L16" s="73"/>
      <c r="M16" s="5"/>
      <c r="N16" s="6">
        <f>100*J16*K16*(L16*0.00000001^3)^2*M16/INDEX('Reference-aQuartz'!$H$4:$H$17,MATCH($B$1,'Reference-aQuartz'!$A$4:$A$17,0))</f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0.37</v>
      </c>
      <c r="C17" s="18">
        <f t="shared" si="0"/>
        <v>0.37100784484637173</v>
      </c>
      <c r="D17" s="18">
        <f>INDEX(MAC!$H$3:$H$16,MATCH('LA-CC1'!$A17,MAC!$A$3:$A$16,0))</f>
        <v>197.69998688868492</v>
      </c>
      <c r="E17" s="18">
        <f t="shared" si="2"/>
        <v>0.73348246061726941</v>
      </c>
      <c r="H17" s="21"/>
      <c r="I17" s="21"/>
      <c r="J17" s="21"/>
      <c r="K17" s="21"/>
      <c r="L17" s="21"/>
      <c r="M17" s="5"/>
      <c r="N17" s="37">
        <f>100*J17*K17*(L17*0.00000001^3)^2*M17/INDEX('Reference-aQuartz'!$H$4:$H$17,MATCH($B$1,'Reference-aQuartz'!$A$4:$A$17,0))</f>
        <v>0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7.97</v>
      </c>
      <c r="C18" s="18">
        <f>B18</f>
        <v>7.97</v>
      </c>
      <c r="D18" s="18">
        <f>INDEX(MAC!$H$3:$H$16,MATCH('LA-CC1'!$A18,MAC!$A$3:$A$16,0))</f>
        <v>9.592279079279237</v>
      </c>
      <c r="E18" s="18">
        <f t="shared" si="2"/>
        <v>0.76450464261855511</v>
      </c>
      <c r="H18" s="104" t="s">
        <v>7</v>
      </c>
      <c r="I18" s="105"/>
      <c r="J18" s="105"/>
      <c r="K18" s="105"/>
      <c r="L18" s="105"/>
      <c r="M18" s="106"/>
      <c r="N18" s="37">
        <f>SUM(N6:N17)</f>
        <v>27.90184577346557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73" t="s">
        <v>7</v>
      </c>
      <c r="B19" s="40">
        <f>SUM(B6:B17)</f>
        <v>91.78</v>
      </c>
      <c r="C19" s="40">
        <f>SUM(C6:C18)</f>
        <v>100</v>
      </c>
      <c r="D19" s="73" t="s">
        <v>29</v>
      </c>
      <c r="E19" s="41">
        <f>SUM(E6:E18)</f>
        <v>62.294476729833505</v>
      </c>
      <c r="H19" s="107" t="s">
        <v>28</v>
      </c>
      <c r="I19" s="108"/>
      <c r="J19" s="108"/>
      <c r="K19" s="108"/>
      <c r="L19" s="108"/>
      <c r="M19" s="109"/>
      <c r="N19" s="37">
        <f>100-N18</f>
        <v>72.098154226534433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44736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0.41</v>
      </c>
      <c r="D23" s="52"/>
      <c r="E23" s="52">
        <v>0.27</v>
      </c>
      <c r="F23" s="53"/>
    </row>
    <row r="24" spans="1:48" x14ac:dyDescent="0.25">
      <c r="H24" s="46" t="s">
        <v>6</v>
      </c>
      <c r="I24" s="28">
        <v>3.75</v>
      </c>
      <c r="J24" s="33"/>
    </row>
    <row r="25" spans="1:48" x14ac:dyDescent="0.25">
      <c r="A25" s="73" t="s">
        <v>8</v>
      </c>
      <c r="B25" s="73" t="s">
        <v>30</v>
      </c>
      <c r="C25" s="73" t="s">
        <v>31</v>
      </c>
      <c r="D25" s="73" t="s">
        <v>68</v>
      </c>
      <c r="E25" s="73" t="s">
        <v>69</v>
      </c>
      <c r="F25" s="73" t="s">
        <v>74</v>
      </c>
      <c r="G25" s="54"/>
      <c r="H25" s="73" t="s">
        <v>9</v>
      </c>
      <c r="I25" s="73" t="s">
        <v>86</v>
      </c>
      <c r="J25" s="73" t="s">
        <v>2</v>
      </c>
      <c r="K25" s="73" t="s">
        <v>3</v>
      </c>
      <c r="L25" s="73" t="s">
        <v>4</v>
      </c>
      <c r="M25" s="73" t="s">
        <v>5</v>
      </c>
      <c r="N25" s="5" t="s">
        <v>15</v>
      </c>
      <c r="O25" s="5" t="s">
        <v>15</v>
      </c>
      <c r="P25" s="5" t="s">
        <v>15</v>
      </c>
      <c r="Q25" s="88" t="s">
        <v>96</v>
      </c>
      <c r="R25" s="89"/>
      <c r="S25" s="88" t="s">
        <v>122</v>
      </c>
      <c r="T25" s="88" t="s">
        <v>123</v>
      </c>
      <c r="U25" s="88" t="s">
        <v>82</v>
      </c>
      <c r="V25" s="36" t="s">
        <v>83</v>
      </c>
    </row>
    <row r="26" spans="1:48" x14ac:dyDescent="0.25">
      <c r="A26" s="73" t="s">
        <v>11</v>
      </c>
      <c r="B26" s="73" t="s">
        <v>93</v>
      </c>
      <c r="C26" s="73" t="s">
        <v>93</v>
      </c>
      <c r="D26" s="73" t="s">
        <v>13</v>
      </c>
      <c r="E26" s="73" t="s">
        <v>13</v>
      </c>
      <c r="F26" s="73" t="s">
        <v>13</v>
      </c>
      <c r="G26" s="54"/>
      <c r="H26" s="73" t="s">
        <v>11</v>
      </c>
      <c r="I26" s="73" t="s">
        <v>11</v>
      </c>
      <c r="J26" s="73" t="s">
        <v>11</v>
      </c>
      <c r="K26" s="73" t="s">
        <v>16</v>
      </c>
      <c r="L26" s="73" t="s">
        <v>19</v>
      </c>
      <c r="M26" s="73" t="s">
        <v>13</v>
      </c>
      <c r="N26" s="5" t="s">
        <v>75</v>
      </c>
      <c r="O26" s="88" t="s">
        <v>113</v>
      </c>
      <c r="P26" s="73" t="s">
        <v>76</v>
      </c>
      <c r="Q26" s="88" t="s">
        <v>76</v>
      </c>
      <c r="R26" s="89"/>
      <c r="S26" s="88" t="s">
        <v>76</v>
      </c>
      <c r="T26" s="88" t="s">
        <v>76</v>
      </c>
      <c r="U26" s="88" t="s">
        <v>11</v>
      </c>
      <c r="V26" s="36" t="s">
        <v>11</v>
      </c>
    </row>
    <row r="27" spans="1:48" x14ac:dyDescent="0.25">
      <c r="A27" s="1" t="s">
        <v>53</v>
      </c>
      <c r="B27" s="12">
        <f>0.65*'LA-Ref 0.5'!B6+0.35*B6</f>
        <v>28.79</v>
      </c>
      <c r="C27" s="18">
        <f>B27*(100-B$39)/B$41</f>
        <v>28.78795720626611</v>
      </c>
      <c r="D27" s="18">
        <f>INDEX(MAC!$H$3:$H$16,MATCH($A27,MAC!$A$3:$A$16,0))</f>
        <v>35.900659077291785</v>
      </c>
      <c r="E27" s="18">
        <f>C27*D27/100</f>
        <v>10.335066371938249</v>
      </c>
      <c r="F27" s="21"/>
      <c r="G27" s="55"/>
      <c r="H27" s="83" t="s">
        <v>34</v>
      </c>
      <c r="I27" s="83"/>
      <c r="J27" s="65">
        <v>8.2999999999999999E-7</v>
      </c>
      <c r="K27" s="73">
        <f>'LA-Ref 0.5'!K6</f>
        <v>3.15</v>
      </c>
      <c r="L27" s="81">
        <f>'LA-Ref 0.5'!L6</f>
        <v>2166.0790000000002</v>
      </c>
      <c r="M27" s="5">
        <f>$F$41</f>
        <v>54.834808850450898</v>
      </c>
      <c r="N27" s="6">
        <f>100*J27*K27*(L27*0.00000001^3)^2*M27/INDEX('Reference-aQuartz'!$H$4:$H$17,MATCH($B$22,'Reference-aQuartz'!$A$4:$A$17,0))</f>
        <v>0.7972145591651969</v>
      </c>
      <c r="O27" s="32">
        <f>P27*100/65</f>
        <v>1.5576346002150769</v>
      </c>
      <c r="P27" s="32">
        <f t="shared" ref="P27:P40" si="3">N27*(1+$E$23)</f>
        <v>1.0124624901398001</v>
      </c>
      <c r="Q27" s="69"/>
      <c r="R27" s="110" t="s">
        <v>79</v>
      </c>
      <c r="S27" s="100">
        <f>('LA-Ref 0.5'!P6+'LA-Ref 0.5'!P7)*0.65</f>
        <v>42.364846282241693</v>
      </c>
      <c r="T27" s="100">
        <f>P27+P28</f>
        <v>1.0124624901398001</v>
      </c>
      <c r="U27" s="102">
        <f>(S27-T27)/S27</f>
        <v>0.97610135338637583</v>
      </c>
      <c r="V27" s="30">
        <f>(U27*S27+U29*S29+U30*S30+U31*S31)/S32</f>
        <v>0.92960526311703384</v>
      </c>
    </row>
    <row r="28" spans="1:48" x14ac:dyDescent="0.25">
      <c r="A28" s="1" t="s">
        <v>54</v>
      </c>
      <c r="B28" s="12">
        <f>0.65*'LA-Ref 0.5'!B7+0.35*B7</f>
        <v>9.4699999999999989</v>
      </c>
      <c r="C28" s="18">
        <f t="shared" ref="C28:C38" si="4">B28*(100-B$39)/B$41</f>
        <v>9.4693280563855513</v>
      </c>
      <c r="D28" s="18">
        <f>INDEX(MAC!$H$3:$H$16,MATCH($A28,MAC!$A$3:$A$16,0))</f>
        <v>31.664851266660783</v>
      </c>
      <c r="E28" s="18">
        <f t="shared" ref="E28:E39" si="5">C28*D28/100</f>
        <v>2.9984486450066652</v>
      </c>
      <c r="F28" s="21"/>
      <c r="G28" s="55"/>
      <c r="H28" s="83" t="s">
        <v>35</v>
      </c>
      <c r="I28" s="83">
        <v>94742</v>
      </c>
      <c r="J28" s="73">
        <v>0</v>
      </c>
      <c r="K28" s="81">
        <f>'LA-Ref 0.5'!K7</f>
        <v>3.16</v>
      </c>
      <c r="L28" s="81">
        <f>'LA-Ref 0.5'!L7</f>
        <v>4316.1279999999997</v>
      </c>
      <c r="M28" s="5">
        <f t="shared" ref="M28:M40" si="6">$F$41</f>
        <v>54.834808850450898</v>
      </c>
      <c r="N28" s="6">
        <f>100*J28*K28*(L28*0.00000001^3)^2*M28/INDEX('Reference-aQuartz'!$H$4:$H$17,MATCH($B$22,'Reference-aQuartz'!$A$4:$A$17,0))</f>
        <v>0</v>
      </c>
      <c r="O28" s="32">
        <f t="shared" ref="O28:O40" si="7">P28*100/65</f>
        <v>0</v>
      </c>
      <c r="P28" s="32">
        <f t="shared" si="3"/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0.5'!B8+0.35*B8</f>
        <v>5.7385000000000002</v>
      </c>
      <c r="C29" s="18">
        <f t="shared" si="4"/>
        <v>5.7380928248752365</v>
      </c>
      <c r="D29" s="18">
        <f>INDEX(MAC!$H$3:$H$16,MATCH($A29,MAC!$A$3:$A$16,0))</f>
        <v>214.68463619455559</v>
      </c>
      <c r="E29" s="18">
        <f t="shared" si="5"/>
        <v>12.3188037055893</v>
      </c>
      <c r="F29" s="21"/>
      <c r="G29" s="55"/>
      <c r="H29" s="83" t="s">
        <v>36</v>
      </c>
      <c r="I29" s="83">
        <v>81096</v>
      </c>
      <c r="J29" s="65">
        <v>9.4530000000000005E-5</v>
      </c>
      <c r="K29" s="81">
        <f>'LA-Ref 0.5'!K8</f>
        <v>3.29</v>
      </c>
      <c r="L29" s="81">
        <f>'LA-Ref 0.5'!L8</f>
        <v>347.22930000000002</v>
      </c>
      <c r="M29" s="5">
        <f t="shared" si="6"/>
        <v>54.834808850450898</v>
      </c>
      <c r="N29" s="6">
        <f>100*J29*K29*(L29*0.00000001^3)^2*M29/INDEX('Reference-aQuartz'!$H$4:$H$17,MATCH($B$22,'Reference-aQuartz'!$A$4:$A$17,0))</f>
        <v>2.4368919700175242</v>
      </c>
      <c r="O29" s="32">
        <f t="shared" si="7"/>
        <v>4.7613120029573164</v>
      </c>
      <c r="P29" s="32">
        <f t="shared" si="3"/>
        <v>3.0948528019222556</v>
      </c>
      <c r="Q29" s="69"/>
      <c r="R29" s="89" t="s">
        <v>80</v>
      </c>
      <c r="S29" s="69">
        <f>'LA-Ref 0.5'!P8*0.65</f>
        <v>6.6266164042793037</v>
      </c>
      <c r="T29" s="69">
        <f>P29</f>
        <v>3.0948528019222556</v>
      </c>
      <c r="U29" s="34">
        <f>(S29-T29)/S29</f>
        <v>0.53296635671808668</v>
      </c>
    </row>
    <row r="30" spans="1:48" x14ac:dyDescent="0.25">
      <c r="A30" s="1" t="s">
        <v>0</v>
      </c>
      <c r="B30" s="12">
        <f>0.65*'LA-Ref 0.5'!B9+0.35*B9</f>
        <v>1.5249999999999999</v>
      </c>
      <c r="C30" s="18">
        <f t="shared" si="4"/>
        <v>1.5248917936629323</v>
      </c>
      <c r="D30" s="18">
        <f>INDEX(MAC!$H$3:$H$16,MATCH($A30,MAC!$A$3:$A$16,0))</f>
        <v>28.686693628423974</v>
      </c>
      <c r="E30" s="18">
        <f t="shared" si="5"/>
        <v>0.43744103701306442</v>
      </c>
      <c r="F30" s="21"/>
      <c r="G30" s="55"/>
      <c r="H30" s="83" t="s">
        <v>37</v>
      </c>
      <c r="I30" s="83">
        <v>1841</v>
      </c>
      <c r="J30" s="73">
        <v>0</v>
      </c>
      <c r="K30" s="81">
        <f>'LA-Ref 0.5'!K9</f>
        <v>3.04</v>
      </c>
      <c r="L30" s="81">
        <f>'LA-Ref 0.5'!L9</f>
        <v>3541.5859999999998</v>
      </c>
      <c r="M30" s="5">
        <f t="shared" si="6"/>
        <v>54.834808850450898</v>
      </c>
      <c r="N30" s="6">
        <f>100*J30*K30*(L30*0.00000001^3)^2*M30/INDEX('Reference-aQuartz'!$H$4:$H$17,MATCH($B$22,'Reference-aQuartz'!$A$4:$A$17,0))</f>
        <v>0</v>
      </c>
      <c r="O30" s="32">
        <f t="shared" si="7"/>
        <v>0</v>
      </c>
      <c r="P30" s="32">
        <f t="shared" si="3"/>
        <v>0</v>
      </c>
      <c r="Q30" s="69"/>
      <c r="R30" s="89" t="s">
        <v>37</v>
      </c>
      <c r="S30" s="69">
        <f>'LA-Ref 0.5'!P9*0.65</f>
        <v>2.3605659551948133</v>
      </c>
      <c r="T30" s="69">
        <f>P30</f>
        <v>0</v>
      </c>
      <c r="U30" s="34">
        <f t="shared" ref="U30:U31" si="8">(S30-T30)/S30</f>
        <v>1</v>
      </c>
    </row>
    <row r="31" spans="1:48" x14ac:dyDescent="0.25">
      <c r="A31" s="1" t="s">
        <v>1</v>
      </c>
      <c r="B31" s="12">
        <f>0.65*'LA-Ref 0.5'!B10+0.35*B10</f>
        <v>44.605000000000004</v>
      </c>
      <c r="C31" s="18">
        <f t="shared" si="4"/>
        <v>44.601835053334483</v>
      </c>
      <c r="D31" s="18">
        <f>INDEX(MAC!$H$3:$H$16,MATCH($A31,MAC!$A$3:$A$16,0))</f>
        <v>124.77929454143408</v>
      </c>
      <c r="E31" s="18">
        <f t="shared" si="5"/>
        <v>55.653855132084828</v>
      </c>
      <c r="F31" s="21"/>
      <c r="G31" s="55"/>
      <c r="H31" s="83" t="s">
        <v>38</v>
      </c>
      <c r="I31" s="83">
        <v>98836</v>
      </c>
      <c r="J31" s="73">
        <v>0</v>
      </c>
      <c r="K31" s="81">
        <f>'LA-Ref 0.5'!K10</f>
        <v>3.75</v>
      </c>
      <c r="L31" s="81">
        <f>'LA-Ref 0.5'!L10</f>
        <v>430.91660000000002</v>
      </c>
      <c r="M31" s="5">
        <f t="shared" si="6"/>
        <v>54.834808850450898</v>
      </c>
      <c r="N31" s="6">
        <f>100*J31*K31*(L31*0.00000001^3)^2*M31/INDEX('Reference-aQuartz'!$H$4:$H$17,MATCH($B$22,'Reference-aQuartz'!$A$4:$A$17,0))</f>
        <v>0</v>
      </c>
      <c r="O31" s="32">
        <f t="shared" si="7"/>
        <v>0</v>
      </c>
      <c r="P31" s="32">
        <f t="shared" si="3"/>
        <v>0</v>
      </c>
      <c r="Q31" s="69"/>
      <c r="R31" s="89" t="s">
        <v>81</v>
      </c>
      <c r="S31" s="69">
        <f>'LA-Ref 0.5'!P10*0.65</f>
        <v>6.9948801462326609</v>
      </c>
      <c r="T31" s="69">
        <f>P31</f>
        <v>0</v>
      </c>
      <c r="U31" s="34">
        <f t="shared" si="8"/>
        <v>1</v>
      </c>
    </row>
    <row r="32" spans="1:48" x14ac:dyDescent="0.25">
      <c r="A32" s="1" t="s">
        <v>56</v>
      </c>
      <c r="B32" s="12">
        <f>0.65*'LA-Ref 0.5'!B11+0.35*B11</f>
        <v>1.1115000000000002</v>
      </c>
      <c r="C32" s="18">
        <f t="shared" si="4"/>
        <v>1.1114211335451472</v>
      </c>
      <c r="D32" s="18">
        <f>INDEX(MAC!$H$3:$H$16,MATCH($A32,MAC!$A$3:$A$16,0))</f>
        <v>122.32505440840811</v>
      </c>
      <c r="E32" s="18">
        <f t="shared" si="5"/>
        <v>1.3595465063156473</v>
      </c>
      <c r="F32" s="21"/>
      <c r="G32" s="55"/>
      <c r="H32" s="83" t="s">
        <v>40</v>
      </c>
      <c r="I32" s="83">
        <v>202220</v>
      </c>
      <c r="J32" s="73">
        <v>9.2418399999999994E-3</v>
      </c>
      <c r="K32" s="73">
        <v>2.2400000000000002</v>
      </c>
      <c r="L32" s="73">
        <v>54.817140000000002</v>
      </c>
      <c r="M32" s="5">
        <f t="shared" si="6"/>
        <v>54.834808850450898</v>
      </c>
      <c r="N32" s="6">
        <f>100*J32*K32*(L32*0.00000001^3)^2*M32/INDEX('Reference-aQuartz'!$H$4:$H$17,MATCH($B$22,'Reference-aQuartz'!$A$4:$A$17,0))</f>
        <v>4.0427529393003008</v>
      </c>
      <c r="O32" s="32">
        <f t="shared" si="7"/>
        <v>7.8989172814021247</v>
      </c>
      <c r="P32" s="32">
        <f t="shared" si="3"/>
        <v>5.1342962329113817</v>
      </c>
      <c r="Q32" s="69"/>
      <c r="R32" s="89" t="s">
        <v>84</v>
      </c>
      <c r="S32" s="69">
        <f>SUM(S27:S31)</f>
        <v>58.346908787948472</v>
      </c>
      <c r="T32" s="69">
        <f>SUM(T27:T31)</f>
        <v>4.1073152920620561</v>
      </c>
    </row>
    <row r="33" spans="1:22" x14ac:dyDescent="0.25">
      <c r="A33" s="1" t="s">
        <v>57</v>
      </c>
      <c r="B33" s="12">
        <f>0.65*'LA-Ref 0.5'!B12+0.35*B12</f>
        <v>2.3805000000000005</v>
      </c>
      <c r="C33" s="18">
        <f t="shared" si="4"/>
        <v>2.380331091681712</v>
      </c>
      <c r="D33" s="18">
        <f>INDEX(MAC!$H$3:$H$16,MATCH($A33,MAC!$A$3:$A$16,0))</f>
        <v>44.261072668681777</v>
      </c>
      <c r="E33" s="18">
        <f t="shared" si="5"/>
        <v>1.0535600742444686</v>
      </c>
      <c r="F33" s="21"/>
      <c r="G33" s="55"/>
      <c r="H33" s="83" t="s">
        <v>25</v>
      </c>
      <c r="I33" s="83">
        <v>73446</v>
      </c>
      <c r="J33" s="65">
        <v>7.8629999999999998E-5</v>
      </c>
      <c r="K33" s="73">
        <v>2.72</v>
      </c>
      <c r="L33" s="73">
        <v>367.09429999999998</v>
      </c>
      <c r="M33" s="5">
        <f t="shared" si="6"/>
        <v>54.834808850450898</v>
      </c>
      <c r="N33" s="6">
        <f>100*J33*K33*(L33*0.00000001^3)^2*M33/INDEX('Reference-aQuartz'!$H$4:$H$17,MATCH($B$22,'Reference-aQuartz'!$A$4:$A$17,0))</f>
        <v>1.873054669008011</v>
      </c>
      <c r="O33" s="32">
        <f t="shared" si="7"/>
        <v>3.659660660984883</v>
      </c>
      <c r="P33" s="32">
        <f t="shared" si="3"/>
        <v>2.3787794296401739</v>
      </c>
      <c r="Q33" s="69">
        <v>2.8</v>
      </c>
    </row>
    <row r="34" spans="1:22" x14ac:dyDescent="0.25">
      <c r="A34" s="1" t="s">
        <v>14</v>
      </c>
      <c r="B34" s="12">
        <f>0.65*'LA-Ref 0.5'!B13+0.35*B13</f>
        <v>0.11600000000000001</v>
      </c>
      <c r="C34" s="18">
        <f t="shared" si="4"/>
        <v>0.11599176922288533</v>
      </c>
      <c r="D34" s="18">
        <f>INDEX(MAC!$H$3:$H$16,MATCH($A34,MAC!$A$3:$A$16,0))</f>
        <v>97.328178229861322</v>
      </c>
      <c r="E34" s="18">
        <f t="shared" si="5"/>
        <v>0.11289267588121926</v>
      </c>
      <c r="F34" s="21"/>
      <c r="G34" s="55"/>
      <c r="H34" s="83" t="s">
        <v>21</v>
      </c>
      <c r="I34" s="83">
        <v>174</v>
      </c>
      <c r="J34" s="73">
        <v>6.7655999999999999E-4</v>
      </c>
      <c r="K34" s="73">
        <v>2.65</v>
      </c>
      <c r="L34" s="73">
        <v>112.93899999999999</v>
      </c>
      <c r="M34" s="5">
        <f t="shared" si="6"/>
        <v>54.834808850450898</v>
      </c>
      <c r="N34" s="6">
        <f>100*J34*K34*(L34*0.00000001^3)^2*M34/INDEX('Reference-aQuartz'!$H$4:$H$17,MATCH($B$22,'Reference-aQuartz'!$A$4:$A$17,0))</f>
        <v>1.486202744614094</v>
      </c>
      <c r="O34" s="32">
        <f t="shared" si="7"/>
        <v>2.9038115163998448</v>
      </c>
      <c r="P34" s="32">
        <f t="shared" si="3"/>
        <v>1.8874774856598993</v>
      </c>
      <c r="Q34" s="69">
        <v>5.4</v>
      </c>
    </row>
    <row r="35" spans="1:22" x14ac:dyDescent="0.25">
      <c r="A35" s="1" t="s">
        <v>58</v>
      </c>
      <c r="B35" s="12">
        <f>0.65*'LA-Ref 0.5'!B14+0.35*B14</f>
        <v>0.53649999999999998</v>
      </c>
      <c r="C35" s="18">
        <f t="shared" si="4"/>
        <v>0.53646193265584463</v>
      </c>
      <c r="D35" s="18">
        <f>INDEX(MAC!$H$3:$H$16,MATCH($A35,MAC!$A$3:$A$16,0))</f>
        <v>19.10926020222594</v>
      </c>
      <c r="E35" s="18">
        <f t="shared" si="5"/>
        <v>0.10251390659709544</v>
      </c>
      <c r="F35" s="21"/>
      <c r="G35" s="55"/>
      <c r="H35" s="83" t="s">
        <v>87</v>
      </c>
      <c r="I35" s="83">
        <v>155395</v>
      </c>
      <c r="J35" s="65">
        <v>6.8900000000000001E-6</v>
      </c>
      <c r="K35" s="73">
        <v>1.79</v>
      </c>
      <c r="L35" s="73">
        <v>2331.0720000000001</v>
      </c>
      <c r="M35" s="5">
        <f t="shared" si="6"/>
        <v>54.834808850450898</v>
      </c>
      <c r="N35" s="6">
        <f>100*J35*K35*(L35*0.00000001^3)^2*M35/INDEX('Reference-aQuartz'!$H$4:$H$17,MATCH($B$22,'Reference-aQuartz'!$A$4:$A$17,0))</f>
        <v>4.3553355476460531</v>
      </c>
      <c r="O35" s="32">
        <f t="shared" si="7"/>
        <v>8.5096556084776722</v>
      </c>
      <c r="P35" s="32">
        <f t="shared" si="3"/>
        <v>5.5312761455104873</v>
      </c>
      <c r="Q35" s="69"/>
    </row>
    <row r="36" spans="1:22" x14ac:dyDescent="0.25">
      <c r="A36" s="1" t="s">
        <v>59</v>
      </c>
      <c r="B36" s="12">
        <f>0.65*'LA-Ref 0.5'!B15+0.35*B15</f>
        <v>0.46299999999999997</v>
      </c>
      <c r="C36" s="18">
        <f t="shared" si="4"/>
        <v>0.46296714784651638</v>
      </c>
      <c r="D36" s="18">
        <f>INDEX(MAC!$H$3:$H$16,MATCH($A36,MAC!$A$3:$A$16,0))</f>
        <v>124.47726788956365</v>
      </c>
      <c r="E36" s="18">
        <f t="shared" si="5"/>
        <v>0.5762888568655804</v>
      </c>
      <c r="F36" s="21"/>
      <c r="G36" s="55"/>
      <c r="H36" s="83" t="s">
        <v>88</v>
      </c>
      <c r="I36" s="83">
        <v>81963</v>
      </c>
      <c r="J36" s="82">
        <v>0</v>
      </c>
      <c r="K36" s="73">
        <v>2.12</v>
      </c>
      <c r="L36" s="73">
        <v>183.6223</v>
      </c>
      <c r="M36" s="5">
        <f t="shared" si="6"/>
        <v>54.834808850450898</v>
      </c>
      <c r="N36" s="6">
        <f>100*J36*K36*(L36*0.00000001^3)^2*M36/INDEX('Reference-aQuartz'!$H$4:$H$17,MATCH($B$22,'Reference-aQuartz'!$A$4:$A$17,0))</f>
        <v>0</v>
      </c>
      <c r="O36" s="32">
        <f t="shared" si="7"/>
        <v>0</v>
      </c>
      <c r="P36" s="32">
        <f t="shared" si="3"/>
        <v>0</v>
      </c>
      <c r="Q36" s="69"/>
    </row>
    <row r="37" spans="1:22" x14ac:dyDescent="0.25">
      <c r="A37" s="1" t="s">
        <v>60</v>
      </c>
      <c r="B37" s="12">
        <f>0.65*'LA-Ref 0.5'!B16+0.35*B16</f>
        <v>0.24249999999999999</v>
      </c>
      <c r="C37" s="18">
        <f t="shared" si="4"/>
        <v>0.24248279341853185</v>
      </c>
      <c r="D37" s="18">
        <f>INDEX(MAC!$H$3:$H$16,MATCH($A37,MAC!$A$3:$A$16,0))</f>
        <v>39.431437267071992</v>
      </c>
      <c r="E37" s="18">
        <f t="shared" si="5"/>
        <v>9.5614450570272153E-2</v>
      </c>
      <c r="F37" s="21"/>
      <c r="G37" s="55"/>
      <c r="H37" s="83" t="s">
        <v>89</v>
      </c>
      <c r="I37" s="83">
        <v>59327</v>
      </c>
      <c r="J37" s="65">
        <v>5.5869999999999999E-5</v>
      </c>
      <c r="K37" s="73">
        <v>2.16</v>
      </c>
      <c r="L37" s="73">
        <v>436.78059999999999</v>
      </c>
      <c r="M37" s="5">
        <f t="shared" si="6"/>
        <v>54.834808850450898</v>
      </c>
      <c r="N37" s="6">
        <f>100*J37*K37*(L37*0.00000001^3)^2*M37/INDEX('Reference-aQuartz'!$H$4:$H$17,MATCH($B$22,'Reference-aQuartz'!$A$4:$A$17,0))</f>
        <v>1.4962256478824054</v>
      </c>
      <c r="O37" s="32">
        <f t="shared" si="7"/>
        <v>2.9233947274010075</v>
      </c>
      <c r="P37" s="32">
        <f t="shared" si="3"/>
        <v>1.900206572810655</v>
      </c>
      <c r="Q37" s="69"/>
    </row>
    <row r="38" spans="1:22" x14ac:dyDescent="0.25">
      <c r="A38" s="19" t="s">
        <v>23</v>
      </c>
      <c r="B38" s="12">
        <f>0.65*'LA-Ref 0.5'!B17+0.35*B17</f>
        <v>0.15225</v>
      </c>
      <c r="C38" s="18">
        <f t="shared" si="4"/>
        <v>0.152239197105037</v>
      </c>
      <c r="D38" s="18">
        <f>INDEX(MAC!$H$3:$H$16,MATCH($A38,MAC!$A$3:$A$16,0))</f>
        <v>197.69998688868492</v>
      </c>
      <c r="E38" s="18">
        <f t="shared" si="5"/>
        <v>0.3009768727160973</v>
      </c>
      <c r="F38" s="21"/>
      <c r="G38" s="55"/>
      <c r="H38" s="83" t="s">
        <v>90</v>
      </c>
      <c r="I38" s="83">
        <v>2105252</v>
      </c>
      <c r="J38" s="65">
        <v>5.3700000000000003E-6</v>
      </c>
      <c r="K38" s="73">
        <v>1.81</v>
      </c>
      <c r="L38" s="73">
        <v>1417.3889999999999</v>
      </c>
      <c r="M38" s="5">
        <f t="shared" si="6"/>
        <v>54.834808850450898</v>
      </c>
      <c r="N38" s="6">
        <f>100*J38*K38*(L38*0.00000001^3)^2*M38/INDEX('Reference-aQuartz'!$H$4:$H$17,MATCH($B$22,'Reference-aQuartz'!$A$4:$A$17,0))</f>
        <v>1.2690214646669091</v>
      </c>
      <c r="O38" s="32">
        <f t="shared" si="7"/>
        <v>2.4794727078876533</v>
      </c>
      <c r="P38" s="32">
        <f t="shared" si="3"/>
        <v>1.6116572601269745</v>
      </c>
      <c r="Q38" s="69"/>
    </row>
    <row r="39" spans="1:22" x14ac:dyDescent="0.25">
      <c r="A39" s="1" t="s">
        <v>66</v>
      </c>
      <c r="B39" s="12">
        <f>0.65*'LA-Ref 0.5'!B18+0.35*B18</f>
        <v>4.8759999999999994</v>
      </c>
      <c r="C39" s="18">
        <f>B39</f>
        <v>4.8759999999999994</v>
      </c>
      <c r="D39" s="18">
        <f>INDEX(MAC!$H$3:$H$16,MATCH($A39,MAC!$A$3:$A$16,0))</f>
        <v>9.592279079279237</v>
      </c>
      <c r="E39" s="18">
        <f t="shared" si="5"/>
        <v>0.46771952790565557</v>
      </c>
      <c r="F39" s="21"/>
      <c r="G39" s="55"/>
      <c r="H39" s="83" t="s">
        <v>95</v>
      </c>
      <c r="I39" s="73"/>
      <c r="J39" s="65">
        <v>5.8599999999999998E-6</v>
      </c>
      <c r="K39" s="73">
        <v>1.96</v>
      </c>
      <c r="L39" s="73">
        <v>529.99260000000004</v>
      </c>
      <c r="M39" s="5">
        <f t="shared" si="6"/>
        <v>54.834808850450898</v>
      </c>
      <c r="N39" s="6">
        <f>100*J39*K39*(L39*0.00000001^3)^2*M39/INDEX('Reference-aQuartz'!$H$4:$H$17,MATCH($B$22,'Reference-aQuartz'!$A$4:$A$17,0))</f>
        <v>0.20966758380458894</v>
      </c>
      <c r="O39" s="32">
        <f t="shared" si="7"/>
        <v>0.40965820220281229</v>
      </c>
      <c r="P39" s="32">
        <f t="shared" si="3"/>
        <v>0.26627783143182798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73" t="s">
        <v>94</v>
      </c>
      <c r="I40" s="73">
        <v>66333</v>
      </c>
      <c r="J40" s="65">
        <v>2.5910000000000001E-5</v>
      </c>
      <c r="K40" s="73">
        <v>2.85</v>
      </c>
      <c r="L40" s="73">
        <v>321.98630000000003</v>
      </c>
      <c r="M40" s="5">
        <f t="shared" si="6"/>
        <v>54.834808850450898</v>
      </c>
      <c r="N40" s="6">
        <f>100*J40*K40*(L40*0.00000001^3)^2*M40/INDEX('Reference-aQuartz'!$H$4:$H$17,MATCH($B$22,'Reference-aQuartz'!$A$4:$A$17,0))</f>
        <v>0.49753662006197813</v>
      </c>
      <c r="O40" s="32">
        <f t="shared" si="7"/>
        <v>0.97211001150571108</v>
      </c>
      <c r="P40" s="32">
        <f t="shared" si="3"/>
        <v>0.63187150747871224</v>
      </c>
    </row>
    <row r="41" spans="1:22" x14ac:dyDescent="0.25">
      <c r="A41" s="73" t="s">
        <v>7</v>
      </c>
      <c r="B41" s="40">
        <f>SUM(B27:B38)</f>
        <v>95.130750000000006</v>
      </c>
      <c r="C41" s="40">
        <f>SUM(C27:C39)</f>
        <v>99.999999999999986</v>
      </c>
      <c r="D41" s="73" t="s">
        <v>29</v>
      </c>
      <c r="E41" s="56">
        <f>SUM(E27:E39)</f>
        <v>85.81272776272813</v>
      </c>
      <c r="F41" s="57">
        <f>E41*(1-C23)+D40*C23</f>
        <v>54.834808850450898</v>
      </c>
      <c r="H41" s="107" t="s">
        <v>7</v>
      </c>
      <c r="I41" s="108"/>
      <c r="J41" s="108"/>
      <c r="K41" s="108"/>
      <c r="L41" s="108"/>
      <c r="M41" s="109"/>
      <c r="N41" s="6">
        <f>SUM(N27:N40)</f>
        <v>18.463903746167063</v>
      </c>
      <c r="O41" s="31">
        <f>SUM(O27:O40)</f>
        <v>36.075627319434105</v>
      </c>
      <c r="P41" s="31">
        <f>SUM(P27:P40)</f>
        <v>23.449157757632172</v>
      </c>
    </row>
    <row r="42" spans="1:22" x14ac:dyDescent="0.25">
      <c r="H42" s="107" t="s">
        <v>28</v>
      </c>
      <c r="I42" s="108"/>
      <c r="J42" s="108"/>
      <c r="K42" s="108"/>
      <c r="L42" s="108"/>
      <c r="M42" s="109"/>
      <c r="N42" s="6">
        <f>100-N41</f>
        <v>81.536096253832937</v>
      </c>
      <c r="O42" s="31">
        <f>100-O41</f>
        <v>63.924372680565895</v>
      </c>
      <c r="P42" s="31">
        <f>100-P41</f>
        <v>76.550842242367821</v>
      </c>
    </row>
    <row r="44" spans="1:22" x14ac:dyDescent="0.25">
      <c r="A44" s="42" t="s">
        <v>32</v>
      </c>
      <c r="B44" s="43">
        <v>44852</v>
      </c>
      <c r="C44" s="47" t="s">
        <v>85</v>
      </c>
      <c r="D44" s="48"/>
      <c r="E44" s="48" t="s">
        <v>77</v>
      </c>
      <c r="F44" s="49"/>
    </row>
    <row r="45" spans="1:22" x14ac:dyDescent="0.25">
      <c r="A45" s="44" t="s">
        <v>78</v>
      </c>
      <c r="B45" s="50"/>
      <c r="C45" s="51">
        <v>0.48</v>
      </c>
      <c r="D45" s="52"/>
      <c r="E45" s="52">
        <v>0.31</v>
      </c>
      <c r="F45" s="53"/>
    </row>
    <row r="46" spans="1:22" x14ac:dyDescent="0.25">
      <c r="H46" s="46" t="s">
        <v>6</v>
      </c>
      <c r="I46" s="28">
        <v>3.66</v>
      </c>
      <c r="J46" s="33"/>
    </row>
    <row r="47" spans="1:22" x14ac:dyDescent="0.25">
      <c r="A47" s="73" t="s">
        <v>8</v>
      </c>
      <c r="B47" s="73" t="s">
        <v>30</v>
      </c>
      <c r="C47" s="73" t="s">
        <v>31</v>
      </c>
      <c r="D47" s="73" t="s">
        <v>68</v>
      </c>
      <c r="E47" s="73" t="s">
        <v>69</v>
      </c>
      <c r="F47" s="73" t="s">
        <v>74</v>
      </c>
      <c r="G47" s="54"/>
      <c r="H47" s="73" t="s">
        <v>9</v>
      </c>
      <c r="I47" s="73" t="s">
        <v>86</v>
      </c>
      <c r="J47" s="73" t="s">
        <v>2</v>
      </c>
      <c r="K47" s="73" t="s">
        <v>3</v>
      </c>
      <c r="L47" s="73" t="s">
        <v>4</v>
      </c>
      <c r="M47" s="73" t="s">
        <v>5</v>
      </c>
      <c r="N47" s="5" t="s">
        <v>15</v>
      </c>
      <c r="O47" s="5" t="s">
        <v>15</v>
      </c>
      <c r="P47" s="5" t="s">
        <v>15</v>
      </c>
      <c r="Q47" s="88" t="s">
        <v>96</v>
      </c>
      <c r="R47" s="89"/>
      <c r="S47" s="96" t="s">
        <v>122</v>
      </c>
      <c r="T47" s="96" t="s">
        <v>123</v>
      </c>
      <c r="U47" s="88" t="s">
        <v>82</v>
      </c>
      <c r="V47" s="36" t="s">
        <v>83</v>
      </c>
    </row>
    <row r="48" spans="1:22" x14ac:dyDescent="0.25">
      <c r="A48" s="73" t="s">
        <v>11</v>
      </c>
      <c r="B48" s="73" t="s">
        <v>93</v>
      </c>
      <c r="C48" s="73" t="s">
        <v>93</v>
      </c>
      <c r="D48" s="73" t="s">
        <v>13</v>
      </c>
      <c r="E48" s="73" t="s">
        <v>13</v>
      </c>
      <c r="F48" s="73" t="s">
        <v>13</v>
      </c>
      <c r="G48" s="54"/>
      <c r="H48" s="73" t="s">
        <v>11</v>
      </c>
      <c r="I48" s="73" t="s">
        <v>11</v>
      </c>
      <c r="J48" s="73" t="s">
        <v>11</v>
      </c>
      <c r="K48" s="73" t="s">
        <v>16</v>
      </c>
      <c r="L48" s="73" t="s">
        <v>19</v>
      </c>
      <c r="M48" s="73" t="s">
        <v>13</v>
      </c>
      <c r="N48" s="5" t="s">
        <v>75</v>
      </c>
      <c r="O48" s="88" t="s">
        <v>113</v>
      </c>
      <c r="P48" s="73" t="s">
        <v>76</v>
      </c>
      <c r="Q48" s="88" t="s">
        <v>76</v>
      </c>
      <c r="R48" s="89"/>
      <c r="S48" s="88" t="s">
        <v>76</v>
      </c>
      <c r="T48" s="88" t="s">
        <v>76</v>
      </c>
      <c r="U48" s="88" t="s">
        <v>11</v>
      </c>
      <c r="V48" s="36" t="s">
        <v>11</v>
      </c>
    </row>
    <row r="49" spans="1:22" x14ac:dyDescent="0.25">
      <c r="A49" s="1" t="s">
        <v>53</v>
      </c>
      <c r="B49" s="12">
        <f>0.65*'LA-Ref 0.5'!B6+0.35*B6</f>
        <v>28.79</v>
      </c>
      <c r="C49" s="18">
        <f>B49*(100-B$39)/B$41</f>
        <v>28.78795720626611</v>
      </c>
      <c r="D49" s="18">
        <f>INDEX(MAC!$H$3:$H$16,MATCH($A49,MAC!$A$3:$A$16,0))</f>
        <v>35.900659077291785</v>
      </c>
      <c r="E49" s="18">
        <f>C49*D49/100</f>
        <v>10.335066371938249</v>
      </c>
      <c r="F49" s="21"/>
      <c r="G49" s="55"/>
      <c r="H49" s="83" t="s">
        <v>34</v>
      </c>
      <c r="I49" s="83"/>
      <c r="J49" s="65">
        <v>6.0999999999999998E-7</v>
      </c>
      <c r="K49" s="73">
        <f>'LA-Ref 0.5'!K6</f>
        <v>3.15</v>
      </c>
      <c r="L49" s="81">
        <f>'LA-Ref 0.5'!L6</f>
        <v>2166.0790000000002</v>
      </c>
      <c r="M49" s="5">
        <f>$F$63</f>
        <v>49.545895865427958</v>
      </c>
      <c r="N49" s="6">
        <f>100*J49*K49*(L49*0.00000001^3)^2*M49/INDEX('Reference-aQuartz'!$H$4:$H$17,MATCH($B$44,'Reference-aQuartz'!$A$4:$A$17,0))</f>
        <v>0.55277612632881068</v>
      </c>
      <c r="O49" s="32">
        <f>P49*100/65</f>
        <v>1.1140565007549879</v>
      </c>
      <c r="P49" s="32">
        <f t="shared" ref="P49:P62" si="9">N49*(1+$E$45)</f>
        <v>0.72413672549074204</v>
      </c>
      <c r="Q49" s="69"/>
      <c r="R49" s="110" t="s">
        <v>79</v>
      </c>
      <c r="S49" s="100">
        <f>('LA-Ref 0.5'!P6+'LA-Ref 0.5'!P7)*0.65</f>
        <v>42.364846282241693</v>
      </c>
      <c r="T49" s="100">
        <f>P49+P50</f>
        <v>0.72413672549074204</v>
      </c>
      <c r="U49" s="102">
        <f>(S49-T49)/S49</f>
        <v>0.98290713199650426</v>
      </c>
      <c r="V49" s="30">
        <f>(U49*S49+U51*S51+U52*S52+U53*S53)/S54</f>
        <v>0.95302881834890385</v>
      </c>
    </row>
    <row r="50" spans="1:22" x14ac:dyDescent="0.25">
      <c r="A50" s="1" t="s">
        <v>54</v>
      </c>
      <c r="B50" s="12">
        <f>0.65*'LA-Ref 0.5'!B7+0.35*B7</f>
        <v>9.4699999999999989</v>
      </c>
      <c r="C50" s="18">
        <f t="shared" ref="C50:C60" si="10">B50*(100-B$39)/B$41</f>
        <v>9.4693280563855513</v>
      </c>
      <c r="D50" s="18">
        <f>INDEX(MAC!$H$3:$H$16,MATCH($A50,MAC!$A$3:$A$16,0))</f>
        <v>31.664851266660783</v>
      </c>
      <c r="E50" s="18">
        <f t="shared" ref="E50:E61" si="11">C50*D50/100</f>
        <v>2.9984486450066652</v>
      </c>
      <c r="F50" s="21"/>
      <c r="G50" s="55"/>
      <c r="H50" s="83" t="s">
        <v>35</v>
      </c>
      <c r="I50" s="83">
        <v>94742</v>
      </c>
      <c r="J50" s="73">
        <v>0</v>
      </c>
      <c r="K50" s="81">
        <f>'LA-Ref 0.5'!K7</f>
        <v>3.16</v>
      </c>
      <c r="L50" s="81">
        <f>'LA-Ref 0.5'!L7</f>
        <v>4316.1279999999997</v>
      </c>
      <c r="M50" s="5">
        <f t="shared" ref="M50:M62" si="12">$F$63</f>
        <v>49.545895865427958</v>
      </c>
      <c r="N50" s="6">
        <f>100*J50*K50*(L50*0.00000001^3)^2*M50/INDEX('Reference-aQuartz'!$H$4:$H$17,MATCH($B$44,'Reference-aQuartz'!$A$4:$A$17,0))</f>
        <v>0</v>
      </c>
      <c r="O50" s="32">
        <f t="shared" ref="O50:O62" si="13">P50*100/65</f>
        <v>0</v>
      </c>
      <c r="P50" s="32">
        <f t="shared" si="9"/>
        <v>0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0.5'!B8+0.35*B8</f>
        <v>5.7385000000000002</v>
      </c>
      <c r="C51" s="18">
        <f t="shared" si="10"/>
        <v>5.7380928248752365</v>
      </c>
      <c r="D51" s="18">
        <f>INDEX(MAC!$H$3:$H$16,MATCH($A51,MAC!$A$3:$A$16,0))</f>
        <v>214.68463619455559</v>
      </c>
      <c r="E51" s="18">
        <f t="shared" si="11"/>
        <v>12.3188037055893</v>
      </c>
      <c r="F51" s="21"/>
      <c r="G51" s="55"/>
      <c r="H51" s="83" t="s">
        <v>36</v>
      </c>
      <c r="I51" s="83">
        <v>81096</v>
      </c>
      <c r="J51" s="65">
        <v>6.3289999999999999E-5</v>
      </c>
      <c r="K51" s="81">
        <f>'LA-Ref 0.5'!K8</f>
        <v>3.29</v>
      </c>
      <c r="L51" s="81">
        <f>'LA-Ref 0.5'!L8</f>
        <v>347.22930000000002</v>
      </c>
      <c r="M51" s="5">
        <f t="shared" si="12"/>
        <v>49.545895865427958</v>
      </c>
      <c r="N51" s="6">
        <f>100*J51*K51*(L51*0.00000001^3)^2*M51/INDEX('Reference-aQuartz'!$H$4:$H$17,MATCH($B$44,'Reference-aQuartz'!$A$4:$A$17,0))</f>
        <v>1.5393026915785668</v>
      </c>
      <c r="O51" s="32">
        <f t="shared" si="13"/>
        <v>3.1022869630275731</v>
      </c>
      <c r="P51" s="32">
        <f t="shared" si="9"/>
        <v>2.0164865259679225</v>
      </c>
      <c r="Q51" s="69"/>
      <c r="R51" s="89" t="s">
        <v>80</v>
      </c>
      <c r="S51" s="69">
        <f>'LA-Ref 0.5'!P8*0.65</f>
        <v>6.6266164042793037</v>
      </c>
      <c r="T51" s="69">
        <f>P51</f>
        <v>2.0164865259679225</v>
      </c>
      <c r="U51" s="34">
        <f>(S51-T51)/S51</f>
        <v>0.69569892039235504</v>
      </c>
    </row>
    <row r="52" spans="1:22" x14ac:dyDescent="0.25">
      <c r="A52" s="1" t="s">
        <v>0</v>
      </c>
      <c r="B52" s="12">
        <f>0.65*'LA-Ref 0.5'!B9+0.35*B9</f>
        <v>1.5249999999999999</v>
      </c>
      <c r="C52" s="18">
        <f t="shared" si="10"/>
        <v>1.5248917936629323</v>
      </c>
      <c r="D52" s="18">
        <f>INDEX(MAC!$H$3:$H$16,MATCH($A52,MAC!$A$3:$A$16,0))</f>
        <v>28.686693628423974</v>
      </c>
      <c r="E52" s="18">
        <f t="shared" si="11"/>
        <v>0.43744103701306442</v>
      </c>
      <c r="F52" s="21"/>
      <c r="G52" s="55"/>
      <c r="H52" s="83" t="s">
        <v>37</v>
      </c>
      <c r="I52" s="83">
        <v>1841</v>
      </c>
      <c r="J52" s="73">
        <v>0</v>
      </c>
      <c r="K52" s="81">
        <f>'LA-Ref 0.5'!K9</f>
        <v>3.04</v>
      </c>
      <c r="L52" s="81">
        <f>'LA-Ref 0.5'!L9</f>
        <v>3541.5859999999998</v>
      </c>
      <c r="M52" s="5">
        <f t="shared" si="12"/>
        <v>49.545895865427958</v>
      </c>
      <c r="N52" s="6">
        <f>100*J52*K52*(L52*0.00000001^3)^2*M52/INDEX('Reference-aQuartz'!$H$4:$H$17,MATCH($B$44,'Reference-aQuartz'!$A$4:$A$17,0))</f>
        <v>0</v>
      </c>
      <c r="O52" s="32">
        <f t="shared" si="13"/>
        <v>0</v>
      </c>
      <c r="P52" s="32">
        <f t="shared" si="9"/>
        <v>0</v>
      </c>
      <c r="Q52" s="69"/>
      <c r="R52" s="89" t="s">
        <v>37</v>
      </c>
      <c r="S52" s="69">
        <f>'LA-Ref 0.5'!P9*0.65</f>
        <v>2.3605659551948133</v>
      </c>
      <c r="T52" s="69">
        <f>P52</f>
        <v>0</v>
      </c>
      <c r="U52" s="34">
        <f t="shared" ref="U52:U53" si="14">(S52-T52)/S52</f>
        <v>1</v>
      </c>
    </row>
    <row r="53" spans="1:22" x14ac:dyDescent="0.25">
      <c r="A53" s="1" t="s">
        <v>1</v>
      </c>
      <c r="B53" s="12">
        <f>0.65*'LA-Ref 0.5'!B10+0.35*B10</f>
        <v>44.605000000000004</v>
      </c>
      <c r="C53" s="18">
        <f t="shared" si="10"/>
        <v>44.601835053334483</v>
      </c>
      <c r="D53" s="18">
        <f>INDEX(MAC!$H$3:$H$16,MATCH($A53,MAC!$A$3:$A$16,0))</f>
        <v>124.77929454143408</v>
      </c>
      <c r="E53" s="18">
        <f t="shared" si="11"/>
        <v>55.653855132084828</v>
      </c>
      <c r="F53" s="21"/>
      <c r="G53" s="55"/>
      <c r="H53" s="83" t="s">
        <v>38</v>
      </c>
      <c r="I53" s="83">
        <v>98836</v>
      </c>
      <c r="J53" s="73">
        <v>0</v>
      </c>
      <c r="K53" s="81">
        <f>'LA-Ref 0.5'!K10</f>
        <v>3.75</v>
      </c>
      <c r="L53" s="81">
        <f>'LA-Ref 0.5'!L10</f>
        <v>430.91660000000002</v>
      </c>
      <c r="M53" s="5">
        <f t="shared" si="12"/>
        <v>49.545895865427958</v>
      </c>
      <c r="N53" s="6">
        <f>100*J53*K53*(L53*0.00000001^3)^2*M53/INDEX('Reference-aQuartz'!$H$4:$H$17,MATCH($B$44,'Reference-aQuartz'!$A$4:$A$17,0))</f>
        <v>0</v>
      </c>
      <c r="O53" s="32">
        <f t="shared" si="13"/>
        <v>0</v>
      </c>
      <c r="P53" s="32">
        <f t="shared" si="9"/>
        <v>0</v>
      </c>
      <c r="Q53" s="69"/>
      <c r="R53" s="89" t="s">
        <v>81</v>
      </c>
      <c r="S53" s="69">
        <f>'LA-Ref 0.5'!P10*0.65</f>
        <v>6.9948801462326609</v>
      </c>
      <c r="T53" s="69">
        <f>P53</f>
        <v>0</v>
      </c>
      <c r="U53" s="34">
        <f t="shared" si="14"/>
        <v>1</v>
      </c>
    </row>
    <row r="54" spans="1:22" x14ac:dyDescent="0.25">
      <c r="A54" s="1" t="s">
        <v>56</v>
      </c>
      <c r="B54" s="12">
        <f>0.65*'LA-Ref 0.5'!B11+0.35*B11</f>
        <v>1.1115000000000002</v>
      </c>
      <c r="C54" s="18">
        <f t="shared" si="10"/>
        <v>1.1114211335451472</v>
      </c>
      <c r="D54" s="18">
        <f>INDEX(MAC!$H$3:$H$16,MATCH($A54,MAC!$A$3:$A$16,0))</f>
        <v>122.32505440840811</v>
      </c>
      <c r="E54" s="18">
        <f t="shared" si="11"/>
        <v>1.3595465063156473</v>
      </c>
      <c r="F54" s="21"/>
      <c r="G54" s="55"/>
      <c r="H54" s="83" t="s">
        <v>40</v>
      </c>
      <c r="I54" s="83">
        <v>202220</v>
      </c>
      <c r="J54" s="73">
        <v>7.4963399999999998E-3</v>
      </c>
      <c r="K54" s="73">
        <v>2.2400000000000002</v>
      </c>
      <c r="L54" s="73">
        <v>54.840009999999999</v>
      </c>
      <c r="M54" s="5">
        <f t="shared" si="12"/>
        <v>49.545895865427958</v>
      </c>
      <c r="N54" s="6">
        <f>100*J54*K54*(L54*0.00000001^3)^2*M54/INDEX('Reference-aQuartz'!$H$4:$H$17,MATCH($B$44,'Reference-aQuartz'!$A$4:$A$17,0))</f>
        <v>3.0963685698589347</v>
      </c>
      <c r="O54" s="32">
        <f t="shared" si="13"/>
        <v>6.2403735792541619</v>
      </c>
      <c r="P54" s="32">
        <f t="shared" si="9"/>
        <v>4.0562428265152048</v>
      </c>
      <c r="Q54" s="69">
        <v>4.7</v>
      </c>
      <c r="R54" s="89" t="s">
        <v>84</v>
      </c>
      <c r="S54" s="69">
        <f>SUM(S49:S53)</f>
        <v>58.346908787948472</v>
      </c>
      <c r="T54" s="69">
        <f>SUM(T49:T53)</f>
        <v>2.7406232514586648</v>
      </c>
    </row>
    <row r="55" spans="1:22" x14ac:dyDescent="0.25">
      <c r="A55" s="1" t="s">
        <v>57</v>
      </c>
      <c r="B55" s="12">
        <f>0.65*'LA-Ref 0.5'!B12+0.35*B12</f>
        <v>2.3805000000000005</v>
      </c>
      <c r="C55" s="18">
        <f t="shared" si="10"/>
        <v>2.380331091681712</v>
      </c>
      <c r="D55" s="18">
        <f>INDEX(MAC!$H$3:$H$16,MATCH($A55,MAC!$A$3:$A$16,0))</f>
        <v>44.261072668681777</v>
      </c>
      <c r="E55" s="18">
        <f t="shared" si="11"/>
        <v>1.0535600742444686</v>
      </c>
      <c r="F55" s="21"/>
      <c r="G55" s="55"/>
      <c r="H55" s="83" t="s">
        <v>25</v>
      </c>
      <c r="I55" s="83">
        <v>73446</v>
      </c>
      <c r="J55" s="65">
        <v>6.5509999999999996E-6</v>
      </c>
      <c r="K55" s="73">
        <v>2.72</v>
      </c>
      <c r="L55" s="73">
        <v>367.2133</v>
      </c>
      <c r="M55" s="5">
        <f t="shared" si="12"/>
        <v>49.545895865427958</v>
      </c>
      <c r="N55" s="6">
        <f>100*J55*K55*(L55*0.00000001^3)^2*M55/INDEX('Reference-aQuartz'!$H$4:$H$17,MATCH($B$44,'Reference-aQuartz'!$A$4:$A$17,0))</f>
        <v>0.14732403796671636</v>
      </c>
      <c r="O55" s="32">
        <f t="shared" si="13"/>
        <v>0.29691459959445915</v>
      </c>
      <c r="P55" s="32">
        <f t="shared" si="9"/>
        <v>0.19299448973639843</v>
      </c>
      <c r="Q55" s="69">
        <v>3</v>
      </c>
    </row>
    <row r="56" spans="1:22" x14ac:dyDescent="0.25">
      <c r="A56" s="1" t="s">
        <v>14</v>
      </c>
      <c r="B56" s="12">
        <f>0.65*'LA-Ref 0.5'!B13+0.35*B13</f>
        <v>0.11600000000000001</v>
      </c>
      <c r="C56" s="18">
        <f t="shared" si="10"/>
        <v>0.11599176922288533</v>
      </c>
      <c r="D56" s="18">
        <f>INDEX(MAC!$H$3:$H$16,MATCH($A56,MAC!$A$3:$A$16,0))</f>
        <v>97.328178229861322</v>
      </c>
      <c r="E56" s="18">
        <f t="shared" si="11"/>
        <v>0.11289267588121926</v>
      </c>
      <c r="F56" s="21"/>
      <c r="G56" s="55"/>
      <c r="H56" s="83" t="s">
        <v>21</v>
      </c>
      <c r="I56" s="83">
        <v>174</v>
      </c>
      <c r="J56" s="73">
        <v>5.8538000000000004E-4</v>
      </c>
      <c r="K56" s="73">
        <v>2.65</v>
      </c>
      <c r="L56" s="73">
        <v>112.8399</v>
      </c>
      <c r="M56" s="5">
        <f t="shared" si="12"/>
        <v>49.545895865427958</v>
      </c>
      <c r="N56" s="6">
        <f>100*J56*K56*(L56*0.00000001^3)^2*M56/INDEX('Reference-aQuartz'!$H$4:$H$17,MATCH($B$44,'Reference-aQuartz'!$A$4:$A$17,0))</f>
        <v>1.211070554504919</v>
      </c>
      <c r="O56" s="32">
        <f t="shared" si="13"/>
        <v>2.440772963694529</v>
      </c>
      <c r="P56" s="32">
        <f t="shared" si="9"/>
        <v>1.586502426401444</v>
      </c>
      <c r="Q56" s="69"/>
    </row>
    <row r="57" spans="1:22" x14ac:dyDescent="0.25">
      <c r="A57" s="1" t="s">
        <v>58</v>
      </c>
      <c r="B57" s="12">
        <f>0.65*'LA-Ref 0.5'!B14+0.35*B14</f>
        <v>0.53649999999999998</v>
      </c>
      <c r="C57" s="18">
        <f t="shared" si="10"/>
        <v>0.53646193265584463</v>
      </c>
      <c r="D57" s="18">
        <f>INDEX(MAC!$H$3:$H$16,MATCH($A57,MAC!$A$3:$A$16,0))</f>
        <v>19.10926020222594</v>
      </c>
      <c r="E57" s="18">
        <f t="shared" si="11"/>
        <v>0.10251390659709544</v>
      </c>
      <c r="F57" s="21"/>
      <c r="G57" s="55"/>
      <c r="H57" s="83" t="s">
        <v>87</v>
      </c>
      <c r="I57" s="83">
        <v>155395</v>
      </c>
      <c r="J57" s="65">
        <v>7.17E-6</v>
      </c>
      <c r="K57" s="73">
        <v>1.79</v>
      </c>
      <c r="L57" s="73">
        <v>2329.87</v>
      </c>
      <c r="M57" s="5">
        <f t="shared" si="12"/>
        <v>49.545895865427958</v>
      </c>
      <c r="N57" s="6">
        <f>100*J57*K57*(L57*0.00000001^3)^2*M57/INDEX('Reference-aQuartz'!$H$4:$H$17,MATCH($B$44,'Reference-aQuartz'!$A$4:$A$17,0))</f>
        <v>4.2716520607003146</v>
      </c>
      <c r="O57" s="32">
        <f t="shared" si="13"/>
        <v>8.6090218454114034</v>
      </c>
      <c r="P57" s="32">
        <f t="shared" si="9"/>
        <v>5.5958641995174121</v>
      </c>
      <c r="Q57" s="69"/>
    </row>
    <row r="58" spans="1:22" x14ac:dyDescent="0.25">
      <c r="A58" s="1" t="s">
        <v>59</v>
      </c>
      <c r="B58" s="12">
        <f>0.65*'LA-Ref 0.5'!B15+0.35*B15</f>
        <v>0.46299999999999997</v>
      </c>
      <c r="C58" s="18">
        <f t="shared" si="10"/>
        <v>0.46296714784651638</v>
      </c>
      <c r="D58" s="18">
        <f>INDEX(MAC!$H$3:$H$16,MATCH($A58,MAC!$A$3:$A$16,0))</f>
        <v>124.47726788956365</v>
      </c>
      <c r="E58" s="18">
        <f t="shared" si="11"/>
        <v>0.5762888568655804</v>
      </c>
      <c r="F58" s="21"/>
      <c r="G58" s="55"/>
      <c r="H58" s="83" t="s">
        <v>88</v>
      </c>
      <c r="I58" s="83">
        <v>81963</v>
      </c>
      <c r="J58" s="82">
        <v>0</v>
      </c>
      <c r="K58" s="73">
        <v>2.14</v>
      </c>
      <c r="L58" s="73">
        <v>182.43260000000001</v>
      </c>
      <c r="M58" s="5">
        <f t="shared" si="12"/>
        <v>49.545895865427958</v>
      </c>
      <c r="N58" s="6">
        <f>100*J58*K58*(L58*0.00000001^3)^2*M58/INDEX('Reference-aQuartz'!$H$4:$H$17,MATCH($B$44,'Reference-aQuartz'!$A$4:$A$17,0))</f>
        <v>0</v>
      </c>
      <c r="O58" s="32">
        <f t="shared" si="13"/>
        <v>0</v>
      </c>
      <c r="P58" s="32">
        <f t="shared" si="9"/>
        <v>0</v>
      </c>
      <c r="Q58" s="69"/>
    </row>
    <row r="59" spans="1:22" x14ac:dyDescent="0.25">
      <c r="A59" s="1" t="s">
        <v>60</v>
      </c>
      <c r="B59" s="12">
        <f>0.65*'LA-Ref 0.5'!B16+0.35*B16</f>
        <v>0.24249999999999999</v>
      </c>
      <c r="C59" s="18">
        <f t="shared" si="10"/>
        <v>0.24248279341853185</v>
      </c>
      <c r="D59" s="18">
        <f>INDEX(MAC!$H$3:$H$16,MATCH($A59,MAC!$A$3:$A$16,0))</f>
        <v>39.431437267071992</v>
      </c>
      <c r="E59" s="18">
        <f t="shared" si="11"/>
        <v>9.5614450570272153E-2</v>
      </c>
      <c r="F59" s="21"/>
      <c r="G59" s="55"/>
      <c r="H59" s="83" t="s">
        <v>89</v>
      </c>
      <c r="I59" s="83">
        <v>59327</v>
      </c>
      <c r="J59" s="65">
        <v>1.0114E-4</v>
      </c>
      <c r="K59" s="73">
        <v>2.16</v>
      </c>
      <c r="L59" s="73">
        <v>437.14780000000002</v>
      </c>
      <c r="M59" s="5">
        <f t="shared" si="12"/>
        <v>49.545895865427958</v>
      </c>
      <c r="N59" s="6">
        <f>100*J59*K59*(L59*0.00000001^3)^2*M59/INDEX('Reference-aQuartz'!$H$4:$H$17,MATCH($B$44,'Reference-aQuartz'!$A$4:$A$17,0))</f>
        <v>2.5597267096996275</v>
      </c>
      <c r="O59" s="32">
        <f t="shared" si="13"/>
        <v>5.158833830317711</v>
      </c>
      <c r="P59" s="32">
        <f t="shared" si="9"/>
        <v>3.353241989706512</v>
      </c>
      <c r="Q59" s="69"/>
    </row>
    <row r="60" spans="1:22" x14ac:dyDescent="0.25">
      <c r="A60" s="19" t="s">
        <v>23</v>
      </c>
      <c r="B60" s="12">
        <f>0.65*'LA-Ref 0.5'!B17+0.35*B17</f>
        <v>0.15225</v>
      </c>
      <c r="C60" s="18">
        <f t="shared" si="10"/>
        <v>0.152239197105037</v>
      </c>
      <c r="D60" s="18">
        <f>INDEX(MAC!$H$3:$H$16,MATCH($A60,MAC!$A$3:$A$16,0))</f>
        <v>197.69998688868492</v>
      </c>
      <c r="E60" s="18">
        <f t="shared" si="11"/>
        <v>0.3009768727160973</v>
      </c>
      <c r="F60" s="21"/>
      <c r="G60" s="55"/>
      <c r="H60" s="83" t="s">
        <v>90</v>
      </c>
      <c r="I60" s="83">
        <v>2105252</v>
      </c>
      <c r="J60" s="65">
        <v>5.4299999999999997E-6</v>
      </c>
      <c r="K60" s="73">
        <v>1.82</v>
      </c>
      <c r="L60" s="73">
        <v>1416.7909999999999</v>
      </c>
      <c r="M60" s="5">
        <f t="shared" si="12"/>
        <v>49.545895865427958</v>
      </c>
      <c r="N60" s="6">
        <f>100*J60*K60*(L60*0.00000001^3)^2*M60/INDEX('Reference-aQuartz'!$H$4:$H$17,MATCH($B$44,'Reference-aQuartz'!$A$4:$A$17,0))</f>
        <v>1.2163067079014089</v>
      </c>
      <c r="O60" s="32">
        <f t="shared" si="13"/>
        <v>2.4513258266936084</v>
      </c>
      <c r="P60" s="32">
        <f t="shared" si="9"/>
        <v>1.5933617873508457</v>
      </c>
      <c r="Q60" s="69"/>
    </row>
    <row r="61" spans="1:22" x14ac:dyDescent="0.25">
      <c r="A61" s="1" t="s">
        <v>66</v>
      </c>
      <c r="B61" s="12">
        <f>0.65*'LA-Ref 0.5'!B18+0.35*B18</f>
        <v>4.8759999999999994</v>
      </c>
      <c r="C61" s="18">
        <f>B61</f>
        <v>4.8759999999999994</v>
      </c>
      <c r="D61" s="18">
        <f>INDEX(MAC!$H$3:$H$16,MATCH($A61,MAC!$A$3:$A$16,0))</f>
        <v>9.592279079279237</v>
      </c>
      <c r="E61" s="18">
        <f t="shared" si="11"/>
        <v>0.46771952790565557</v>
      </c>
      <c r="F61" s="21"/>
      <c r="G61" s="55"/>
      <c r="H61" s="83" t="s">
        <v>95</v>
      </c>
      <c r="I61" s="83"/>
      <c r="J61" s="65">
        <v>1.0210000000000001E-5</v>
      </c>
      <c r="K61" s="73">
        <v>1.97</v>
      </c>
      <c r="L61" s="73">
        <v>528.03560000000004</v>
      </c>
      <c r="M61" s="5">
        <f t="shared" si="12"/>
        <v>49.545895865427958</v>
      </c>
      <c r="N61" s="6">
        <f>100*J61*K61*(L61*0.00000001^3)^2*M61/INDEX('Reference-aQuartz'!$H$4:$H$17,MATCH($B$44,'Reference-aQuartz'!$A$4:$A$17,0))</f>
        <v>0.34385764211067071</v>
      </c>
      <c r="O61" s="32">
        <f t="shared" si="13"/>
        <v>0.69300540179227488</v>
      </c>
      <c r="P61" s="32">
        <f t="shared" si="9"/>
        <v>0.45045351116497867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83" t="s">
        <v>94</v>
      </c>
      <c r="I62" s="83">
        <v>66333</v>
      </c>
      <c r="J62" s="65">
        <v>2.633E-5</v>
      </c>
      <c r="K62" s="73">
        <v>2.85</v>
      </c>
      <c r="L62" s="73">
        <v>322.57560000000001</v>
      </c>
      <c r="M62" s="5">
        <f t="shared" si="12"/>
        <v>49.545895865427958</v>
      </c>
      <c r="N62" s="6">
        <f>100*J62*K62*(L62*0.00000001^3)^2*M62/INDEX('Reference-aQuartz'!$H$4:$H$17,MATCH($B$44,'Reference-aQuartz'!$A$4:$A$17,0))</f>
        <v>0.4787613160609151</v>
      </c>
      <c r="O62" s="32">
        <f t="shared" si="13"/>
        <v>0.96488819083045962</v>
      </c>
      <c r="P62" s="32">
        <f t="shared" si="9"/>
        <v>0.62717732403979876</v>
      </c>
      <c r="Q62" s="21"/>
    </row>
    <row r="63" spans="1:22" x14ac:dyDescent="0.25">
      <c r="A63" s="73" t="s">
        <v>7</v>
      </c>
      <c r="B63" s="40">
        <f>SUM(B49:B60)</f>
        <v>95.130750000000006</v>
      </c>
      <c r="C63" s="40">
        <f>SUM(C49:C61)</f>
        <v>99.999999999999986</v>
      </c>
      <c r="D63" s="73" t="s">
        <v>29</v>
      </c>
      <c r="E63" s="56">
        <f>SUM(E49:E61)</f>
        <v>85.81272776272813</v>
      </c>
      <c r="F63" s="57">
        <f>E63*(1-C45)+D62*C45</f>
        <v>49.545895865427958</v>
      </c>
      <c r="H63" s="107" t="s">
        <v>7</v>
      </c>
      <c r="I63" s="108"/>
      <c r="J63" s="108"/>
      <c r="K63" s="108"/>
      <c r="L63" s="108"/>
      <c r="M63" s="109"/>
      <c r="N63" s="6">
        <f>SUM(N49:N62)</f>
        <v>15.417146416710885</v>
      </c>
      <c r="O63" s="31">
        <f>SUM(O49:O62)</f>
        <v>31.071479701371167</v>
      </c>
      <c r="P63" s="31">
        <f>SUM(P49:P62)</f>
        <v>20.196461805891261</v>
      </c>
    </row>
    <row r="64" spans="1:22" x14ac:dyDescent="0.25">
      <c r="H64" s="107" t="s">
        <v>28</v>
      </c>
      <c r="I64" s="108"/>
      <c r="J64" s="108"/>
      <c r="K64" s="108"/>
      <c r="L64" s="108"/>
      <c r="M64" s="109"/>
      <c r="N64" s="6">
        <f>100-N63</f>
        <v>84.582853583289108</v>
      </c>
      <c r="O64" s="31">
        <f>100-O63</f>
        <v>68.928520298628825</v>
      </c>
      <c r="P64" s="31">
        <f>100-P63</f>
        <v>79.803538194108739</v>
      </c>
    </row>
  </sheetData>
  <mergeCells count="14">
    <mergeCell ref="H63:M63"/>
    <mergeCell ref="H64:M64"/>
    <mergeCell ref="H41:M41"/>
    <mergeCell ref="H42:M42"/>
    <mergeCell ref="H18:M18"/>
    <mergeCell ref="H19:M19"/>
    <mergeCell ref="R27:R28"/>
    <mergeCell ref="S27:S28"/>
    <mergeCell ref="T27:T28"/>
    <mergeCell ref="U49:U50"/>
    <mergeCell ref="U27:U28"/>
    <mergeCell ref="R49:R50"/>
    <mergeCell ref="S49:S50"/>
    <mergeCell ref="T49:T5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971C9-8FA8-4327-99CA-0403E20F8A3A}">
  <sheetPr>
    <tabColor theme="9"/>
  </sheetPr>
  <dimension ref="A1:AV64"/>
  <sheetViews>
    <sheetView zoomScaleNormal="100" workbookViewId="0">
      <selection activeCell="O22" sqref="O22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5.710937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1.42578125" style="20" bestFit="1" customWidth="1"/>
    <col min="47" max="16384" width="8.85546875" style="20"/>
  </cols>
  <sheetData>
    <row r="1" spans="1:48" x14ac:dyDescent="0.25">
      <c r="A1" s="42" t="s">
        <v>47</v>
      </c>
      <c r="B1" s="43">
        <v>44698</v>
      </c>
      <c r="H1" s="38" t="s">
        <v>20</v>
      </c>
      <c r="I1" s="38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>
        <v>3.08</v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73" t="s">
        <v>8</v>
      </c>
      <c r="B4" s="73" t="s">
        <v>30</v>
      </c>
      <c r="C4" s="73" t="s">
        <v>31</v>
      </c>
      <c r="D4" s="73" t="s">
        <v>68</v>
      </c>
      <c r="E4" s="73" t="s">
        <v>69</v>
      </c>
      <c r="H4" s="73" t="s">
        <v>9</v>
      </c>
      <c r="I4" s="73" t="s">
        <v>86</v>
      </c>
      <c r="J4" s="73" t="s">
        <v>2</v>
      </c>
      <c r="K4" s="73" t="s">
        <v>3</v>
      </c>
      <c r="L4" s="73" t="s">
        <v>4</v>
      </c>
      <c r="M4" s="73" t="s">
        <v>5</v>
      </c>
      <c r="N4" s="5" t="s">
        <v>15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73" t="s">
        <v>11</v>
      </c>
      <c r="B5" s="73" t="s">
        <v>93</v>
      </c>
      <c r="C5" s="73" t="s">
        <v>93</v>
      </c>
      <c r="D5" s="73" t="s">
        <v>13</v>
      </c>
      <c r="E5" s="73" t="s">
        <v>13</v>
      </c>
      <c r="H5" s="73" t="s">
        <v>11</v>
      </c>
      <c r="I5" s="73" t="s">
        <v>11</v>
      </c>
      <c r="J5" s="73" t="s">
        <v>11</v>
      </c>
      <c r="K5" s="73" t="s">
        <v>16</v>
      </c>
      <c r="L5" s="73" t="s">
        <v>19</v>
      </c>
      <c r="M5" s="73" t="s">
        <v>13</v>
      </c>
      <c r="N5" s="5" t="s">
        <v>12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49</v>
      </c>
      <c r="C6" s="18">
        <f t="shared" ref="C6:C17" si="0">B6*(100-B$18)/B$19</f>
        <v>49.155128746306467</v>
      </c>
      <c r="D6" s="18">
        <f>INDEX(MAC!$H$3:$H$16,MATCH('LA-CC2'!$A6,MAC!$A$3:$A$16,0))</f>
        <v>35.900659077291785</v>
      </c>
      <c r="E6" s="18">
        <f>C6*D6/100</f>
        <v>17.647015190215335</v>
      </c>
      <c r="F6" s="39"/>
      <c r="G6" s="39"/>
      <c r="H6" s="73" t="s">
        <v>21</v>
      </c>
      <c r="I6" s="73">
        <v>174</v>
      </c>
      <c r="J6" s="73">
        <v>1.8485299999999999E-3</v>
      </c>
      <c r="K6" s="73">
        <v>2.65</v>
      </c>
      <c r="L6" s="73">
        <v>112.9376</v>
      </c>
      <c r="M6" s="5">
        <f t="shared" ref="M6:M12" si="1">$E$19</f>
        <v>63.937184693519001</v>
      </c>
      <c r="N6" s="6">
        <f>100*J6*K6*(L6*0.00000001^3)^2*M6/INDEX('Reference-aQuartz'!$H$4:$H$17,MATCH($B$1,'Reference-aQuartz'!$A$4:$A$17,0))</f>
        <v>6.9669726792486895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17.3</v>
      </c>
      <c r="C7" s="18">
        <f t="shared" si="0"/>
        <v>17.354769945124527</v>
      </c>
      <c r="D7" s="18">
        <f>INDEX(MAC!$H$3:$H$16,MATCH('LA-CC2'!$A7,MAC!$A$3:$A$16,0))</f>
        <v>31.664851266660783</v>
      </c>
      <c r="E7" s="18">
        <f t="shared" ref="E7:E18" si="2">C7*D7/100</f>
        <v>5.4953620907948286</v>
      </c>
      <c r="F7" s="39"/>
      <c r="G7" s="39"/>
      <c r="H7" s="73" t="s">
        <v>25</v>
      </c>
      <c r="I7" s="73">
        <v>73446</v>
      </c>
      <c r="J7" s="73">
        <v>1.3789E-4</v>
      </c>
      <c r="K7" s="73">
        <v>2.71</v>
      </c>
      <c r="L7" s="73">
        <v>367.72859999999997</v>
      </c>
      <c r="M7" s="5">
        <f t="shared" si="1"/>
        <v>63.937184693519001</v>
      </c>
      <c r="N7" s="6">
        <f>100*J7*K7*(L7*0.00000001^3)^2*M7/INDEX('Reference-aQuartz'!$H$4:$H$17,MATCH($B$1,'Reference-aQuartz'!$A$4:$A$17,0))</f>
        <v>5.6344496270887845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9.74</v>
      </c>
      <c r="C8" s="18">
        <f t="shared" si="0"/>
        <v>9.7708357956943868</v>
      </c>
      <c r="D8" s="18">
        <f>INDEX(MAC!$H$3:$H$16,MATCH('LA-CC2'!$A8,MAC!$A$3:$A$16,0))</f>
        <v>214.68463619455559</v>
      </c>
      <c r="E8" s="18">
        <f t="shared" si="2"/>
        <v>20.976483281153904</v>
      </c>
      <c r="F8" s="39"/>
      <c r="G8" s="39"/>
      <c r="H8" s="73" t="s">
        <v>42</v>
      </c>
      <c r="I8" s="73">
        <v>201096</v>
      </c>
      <c r="J8" s="73">
        <f>0.00001084</f>
        <v>1.084E-5</v>
      </c>
      <c r="K8" s="73">
        <v>5.26</v>
      </c>
      <c r="L8" s="73">
        <v>302.40170000000001</v>
      </c>
      <c r="M8" s="5">
        <f t="shared" si="1"/>
        <v>63.937184693519001</v>
      </c>
      <c r="N8" s="6">
        <f>100*J8*K8*(L8*0.00000001^3)^2*M8/INDEX('Reference-aQuartz'!$H$4:$H$17,MATCH($B$1,'Reference-aQuartz'!$A$4:$A$17,0))</f>
        <v>0.58140411921002966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2.5</v>
      </c>
      <c r="C9" s="18">
        <f t="shared" si="0"/>
        <v>2.5079147319544113</v>
      </c>
      <c r="D9" s="18">
        <f>INDEX(MAC!$H$3:$H$16,MATCH('LA-CC2'!$A9,MAC!$A$3:$A$16,0))</f>
        <v>28.686693628423974</v>
      </c>
      <c r="E9" s="18">
        <f t="shared" si="2"/>
        <v>0.71943781561787234</v>
      </c>
      <c r="F9" s="39"/>
      <c r="G9" s="39"/>
      <c r="H9" s="73" t="s">
        <v>44</v>
      </c>
      <c r="I9" s="73">
        <v>15876</v>
      </c>
      <c r="J9" s="73">
        <f>0.00001516</f>
        <v>1.5160000000000001E-5</v>
      </c>
      <c r="K9" s="73">
        <v>2.97</v>
      </c>
      <c r="L9" s="73">
        <v>304.3922</v>
      </c>
      <c r="M9" s="5">
        <f t="shared" si="1"/>
        <v>63.937184693519001</v>
      </c>
      <c r="N9" s="6">
        <f>100*J9*K9*(L9*0.00000001^3)^2*M9/INDEX('Reference-aQuartz'!$H$4:$H$17,MATCH($B$1,'Reference-aQuartz'!$A$4:$A$17,0))</f>
        <v>0.46517601197716757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10.1</v>
      </c>
      <c r="C10" s="18">
        <f t="shared" si="0"/>
        <v>10.131975517095823</v>
      </c>
      <c r="D10" s="18">
        <f>INDEX(MAC!$H$3:$H$16,MATCH('LA-CC2'!$A10,MAC!$A$3:$A$16,0))</f>
        <v>124.77929454143408</v>
      </c>
      <c r="E10" s="18">
        <f t="shared" si="2"/>
        <v>12.642607573342987</v>
      </c>
      <c r="F10" s="39"/>
      <c r="G10" s="39"/>
      <c r="H10" s="73" t="s">
        <v>27</v>
      </c>
      <c r="I10" s="73">
        <v>90144</v>
      </c>
      <c r="J10" s="73">
        <f>0.00002179</f>
        <v>2.179E-5</v>
      </c>
      <c r="K10" s="73">
        <v>2.75</v>
      </c>
      <c r="L10" s="73">
        <v>954.91890000000001</v>
      </c>
      <c r="M10" s="5">
        <f t="shared" si="1"/>
        <v>63.937184693519001</v>
      </c>
      <c r="N10" s="6">
        <f>100*J10*K10*(L10*0.00000001^3)^2*M10/INDEX('Reference-aQuartz'!$H$4:$H$17,MATCH($B$1,'Reference-aQuartz'!$A$4:$A$17,0))</f>
        <v>6.0928084364209223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2.66</v>
      </c>
      <c r="C11" s="18">
        <f t="shared" si="0"/>
        <v>2.6684212747994942</v>
      </c>
      <c r="D11" s="18">
        <f>INDEX(MAC!$H$3:$H$16,MATCH('LA-CC2'!$A11,MAC!$A$3:$A$16,0))</f>
        <v>122.32505440840811</v>
      </c>
      <c r="E11" s="18">
        <f t="shared" si="2"/>
        <v>3.2641477762440183</v>
      </c>
      <c r="F11" s="39"/>
      <c r="G11" s="39"/>
      <c r="H11" s="73" t="s">
        <v>45</v>
      </c>
      <c r="I11" s="73">
        <v>158607</v>
      </c>
      <c r="J11" s="73">
        <f>0.0000079</f>
        <v>7.9000000000000006E-6</v>
      </c>
      <c r="K11" s="73">
        <v>2.59</v>
      </c>
      <c r="L11" s="73">
        <v>934.24170000000004</v>
      </c>
      <c r="M11" s="5">
        <f t="shared" si="1"/>
        <v>63.937184693519001</v>
      </c>
      <c r="N11" s="6">
        <f>100*J11*K11*(L11*0.00000001^3)^2*M11/INDEX('Reference-aQuartz'!$H$4:$H$17,MATCH($B$1,'Reference-aQuartz'!$A$4:$A$17,0))</f>
        <v>1.991315036694568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0.98</v>
      </c>
      <c r="C12" s="18">
        <f t="shared" si="0"/>
        <v>0.98310257492612929</v>
      </c>
      <c r="D12" s="18">
        <f>INDEX(MAC!$H$3:$H$16,MATCH('LA-CC2'!$A12,MAC!$A$3:$A$16,0))</f>
        <v>44.261072668681777</v>
      </c>
      <c r="E12" s="18">
        <f t="shared" si="2"/>
        <v>0.43513174509573582</v>
      </c>
      <c r="F12" s="39"/>
      <c r="G12" s="39"/>
      <c r="H12" s="73" t="s">
        <v>46</v>
      </c>
      <c r="I12" s="73">
        <v>93097</v>
      </c>
      <c r="J12" s="73">
        <v>2.1280999999999999E-4</v>
      </c>
      <c r="K12" s="73">
        <v>4.2699999999999996</v>
      </c>
      <c r="L12" s="73">
        <v>62.199860000000001</v>
      </c>
      <c r="M12" s="5">
        <f t="shared" si="1"/>
        <v>63.937184693519001</v>
      </c>
      <c r="N12" s="6">
        <f>100*J12*K12*(L12*0.00000001^3)^2*M12/INDEX('Reference-aQuartz'!$H$4:$H$17,MATCH($B$1,'Reference-aQuartz'!$A$4:$A$17,0))</f>
        <v>0.39200656704671583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0.09</v>
      </c>
      <c r="C13" s="18">
        <f t="shared" si="0"/>
        <v>9.0284930350358811E-2</v>
      </c>
      <c r="D13" s="18">
        <f>INDEX(MAC!$H$3:$H$16,MATCH('LA-CC2'!$A13,MAC!$A$3:$A$16,0))</f>
        <v>97.328178229861322</v>
      </c>
      <c r="E13" s="18">
        <f t="shared" si="2"/>
        <v>8.7872677926103385E-2</v>
      </c>
      <c r="F13" s="39"/>
      <c r="G13" s="39"/>
      <c r="H13" s="73"/>
      <c r="I13" s="73"/>
      <c r="J13" s="73"/>
      <c r="K13" s="73"/>
      <c r="L13" s="73"/>
      <c r="M13" s="5"/>
      <c r="N13" s="6">
        <f>100*J13*K13*(L13*0.00000001^3)^2*M13/INDEX('Reference-aQuartz'!$H$4:$H$17,MATCH($B$1,'Reference-aQuartz'!$A$4:$A$17,0))</f>
        <v>0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0.81</v>
      </c>
      <c r="C14" s="18">
        <f t="shared" si="0"/>
        <v>0.81256437315322938</v>
      </c>
      <c r="D14" s="18">
        <f>INDEX(MAC!$H$3:$H$16,MATCH('LA-CC2'!$A14,MAC!$A$3:$A$16,0))</f>
        <v>19.10926020222594</v>
      </c>
      <c r="E14" s="18">
        <f t="shared" si="2"/>
        <v>0.15527504037643675</v>
      </c>
      <c r="F14" s="39"/>
      <c r="G14" s="39"/>
      <c r="H14" s="73"/>
      <c r="I14" s="73"/>
      <c r="J14" s="73"/>
      <c r="K14" s="73"/>
      <c r="L14" s="73"/>
      <c r="M14" s="5"/>
      <c r="N14" s="6">
        <f>100*J14*K14*(L14*0.00000001^3)^2*M14/INDEX('Reference-aQuartz'!$H$4:$H$17,MATCH($B$1,'Reference-aQuartz'!$A$4:$A$17,0))</f>
        <v>0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0.97</v>
      </c>
      <c r="C15" s="18">
        <f t="shared" si="0"/>
        <v>0.97307091599831164</v>
      </c>
      <c r="D15" s="18">
        <f>INDEX(MAC!$H$3:$H$16,MATCH('LA-CC2'!$A15,MAC!$A$3:$A$16,0))</f>
        <v>124.47726788956365</v>
      </c>
      <c r="E15" s="18">
        <f t="shared" si="2"/>
        <v>1.2112520908626492</v>
      </c>
      <c r="F15" s="39"/>
      <c r="G15" s="39"/>
      <c r="H15" s="73"/>
      <c r="I15" s="73"/>
      <c r="J15" s="73"/>
      <c r="K15" s="73"/>
      <c r="L15" s="73"/>
      <c r="M15" s="5"/>
      <c r="N15" s="6">
        <f>100*J15*K15*(L15*0.00000001^3)^2*M15/INDEX('Reference-aQuartz'!$H$4:$H$17,MATCH($B$1,'Reference-aQuartz'!$A$4:$A$17,0))</f>
        <v>0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0.24</v>
      </c>
      <c r="C16" s="18">
        <f t="shared" si="0"/>
        <v>0.2407598142676235</v>
      </c>
      <c r="D16" s="18">
        <f>INDEX(MAC!$H$3:$H$16,MATCH('LA-CC2'!$A16,MAC!$A$3:$A$16,0))</f>
        <v>39.431437267071992</v>
      </c>
      <c r="E16" s="18">
        <f t="shared" si="2"/>
        <v>9.4935055127257015E-2</v>
      </c>
      <c r="F16" s="39"/>
      <c r="G16" s="39"/>
      <c r="H16" s="73"/>
      <c r="I16" s="73"/>
      <c r="J16" s="73"/>
      <c r="K16" s="73"/>
      <c r="L16" s="73"/>
      <c r="M16" s="5"/>
      <c r="N16" s="6">
        <f>100*J16*K16*(L16*0.00000001^3)^2*M16/INDEX('Reference-aQuartz'!$H$4:$H$17,MATCH($B$1,'Reference-aQuartz'!$A$4:$A$17,0))</f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0.37</v>
      </c>
      <c r="C17" s="18">
        <f t="shared" si="0"/>
        <v>0.3711713803292529</v>
      </c>
      <c r="D17" s="18">
        <f>INDEX(MAC!$H$3:$H$16,MATCH('LA-CC2'!$A17,MAC!$A$3:$A$16,0))</f>
        <v>197.69998688868492</v>
      </c>
      <c r="E17" s="18">
        <f t="shared" si="2"/>
        <v>0.73380577024548388</v>
      </c>
      <c r="H17" s="21"/>
      <c r="I17" s="21"/>
      <c r="J17" s="21"/>
      <c r="K17" s="21"/>
      <c r="L17" s="21"/>
      <c r="M17" s="5"/>
      <c r="N17" s="37">
        <f>100*J17*K17*(L17*0.00000001^3)^2*M17/INDEX('Reference-aQuartz'!$H$4:$H$17,MATCH($B$1,'Reference-aQuartz'!$A$4:$A$17,0))</f>
        <v>0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4.9400000000000004</v>
      </c>
      <c r="C18" s="18">
        <f>B18</f>
        <v>4.9400000000000004</v>
      </c>
      <c r="D18" s="18">
        <f>INDEX(MAC!$H$3:$H$16,MATCH('LA-CC2'!$A18,MAC!$A$3:$A$16,0))</f>
        <v>9.592279079279237</v>
      </c>
      <c r="E18" s="18">
        <f t="shared" si="2"/>
        <v>0.47385858651639429</v>
      </c>
      <c r="H18" s="104" t="s">
        <v>7</v>
      </c>
      <c r="I18" s="105"/>
      <c r="J18" s="105"/>
      <c r="K18" s="105"/>
      <c r="L18" s="105"/>
      <c r="M18" s="106"/>
      <c r="N18" s="37">
        <f>SUM(N6:N17)</f>
        <v>22.124132477686878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73" t="s">
        <v>7</v>
      </c>
      <c r="B19" s="40">
        <f>SUM(B6:B17)</f>
        <v>94.759999999999991</v>
      </c>
      <c r="C19" s="40">
        <f>SUM(C6:C18)</f>
        <v>100.00000000000003</v>
      </c>
      <c r="D19" s="73" t="s">
        <v>29</v>
      </c>
      <c r="E19" s="41">
        <f>SUM(E6:E18)</f>
        <v>63.937184693519001</v>
      </c>
      <c r="H19" s="107" t="s">
        <v>28</v>
      </c>
      <c r="I19" s="108"/>
      <c r="J19" s="108"/>
      <c r="K19" s="108"/>
      <c r="L19" s="108"/>
      <c r="M19" s="109"/>
      <c r="N19" s="37">
        <f>100-N18</f>
        <v>77.875867522313115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44736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0.41</v>
      </c>
      <c r="D23" s="52"/>
      <c r="E23" s="52">
        <v>0.26</v>
      </c>
      <c r="F23" s="53"/>
    </row>
    <row r="24" spans="1:48" x14ac:dyDescent="0.25">
      <c r="H24" s="46" t="s">
        <v>6</v>
      </c>
      <c r="I24" s="28">
        <v>3.83</v>
      </c>
      <c r="J24" s="33"/>
    </row>
    <row r="25" spans="1:48" x14ac:dyDescent="0.25">
      <c r="A25" s="73" t="s">
        <v>8</v>
      </c>
      <c r="B25" s="73" t="s">
        <v>30</v>
      </c>
      <c r="C25" s="73" t="s">
        <v>31</v>
      </c>
      <c r="D25" s="73" t="s">
        <v>68</v>
      </c>
      <c r="E25" s="73" t="s">
        <v>69</v>
      </c>
      <c r="F25" s="73" t="s">
        <v>74</v>
      </c>
      <c r="G25" s="54"/>
      <c r="H25" s="73" t="s">
        <v>9</v>
      </c>
      <c r="I25" s="73" t="s">
        <v>86</v>
      </c>
      <c r="J25" s="73" t="s">
        <v>2</v>
      </c>
      <c r="K25" s="73" t="s">
        <v>3</v>
      </c>
      <c r="L25" s="73" t="s">
        <v>4</v>
      </c>
      <c r="M25" s="73" t="s">
        <v>5</v>
      </c>
      <c r="N25" s="5" t="s">
        <v>15</v>
      </c>
      <c r="O25" s="5" t="s">
        <v>15</v>
      </c>
      <c r="P25" s="5" t="s">
        <v>15</v>
      </c>
      <c r="Q25" s="88" t="s">
        <v>96</v>
      </c>
      <c r="R25" s="89"/>
      <c r="S25" s="88" t="s">
        <v>122</v>
      </c>
      <c r="T25" s="88" t="s">
        <v>123</v>
      </c>
      <c r="U25" s="88" t="s">
        <v>82</v>
      </c>
      <c r="V25" s="36" t="s">
        <v>83</v>
      </c>
    </row>
    <row r="26" spans="1:48" x14ac:dyDescent="0.25">
      <c r="A26" s="73" t="s">
        <v>11</v>
      </c>
      <c r="B26" s="73" t="s">
        <v>93</v>
      </c>
      <c r="C26" s="73" t="s">
        <v>93</v>
      </c>
      <c r="D26" s="73" t="s">
        <v>13</v>
      </c>
      <c r="E26" s="73" t="s">
        <v>13</v>
      </c>
      <c r="F26" s="73" t="s">
        <v>13</v>
      </c>
      <c r="G26" s="54"/>
      <c r="H26" s="73" t="s">
        <v>11</v>
      </c>
      <c r="I26" s="73" t="s">
        <v>11</v>
      </c>
      <c r="J26" s="73" t="s">
        <v>11</v>
      </c>
      <c r="K26" s="73" t="s">
        <v>16</v>
      </c>
      <c r="L26" s="73" t="s">
        <v>19</v>
      </c>
      <c r="M26" s="73" t="s">
        <v>13</v>
      </c>
      <c r="N26" s="5" t="s">
        <v>75</v>
      </c>
      <c r="O26" s="88" t="s">
        <v>113</v>
      </c>
      <c r="P26" s="73" t="s">
        <v>76</v>
      </c>
      <c r="Q26" s="88" t="s">
        <v>76</v>
      </c>
      <c r="R26" s="89"/>
      <c r="S26" s="88" t="s">
        <v>76</v>
      </c>
      <c r="T26" s="88" t="s">
        <v>76</v>
      </c>
      <c r="U26" s="88" t="s">
        <v>11</v>
      </c>
      <c r="V26" s="36" t="s">
        <v>11</v>
      </c>
    </row>
    <row r="27" spans="1:48" x14ac:dyDescent="0.25">
      <c r="A27" s="1" t="s">
        <v>53</v>
      </c>
      <c r="B27" s="12">
        <f>0.65*'LA-Ref 0.5'!B6+0.35*B6</f>
        <v>29.63</v>
      </c>
      <c r="C27" s="18">
        <f>B27*(100-B$39)/B$41</f>
        <v>29.63331194842668</v>
      </c>
      <c r="D27" s="18">
        <f>INDEX(MAC!$H$3:$H$16,MATCH($A27,MAC!$A$3:$A$16,0))</f>
        <v>35.900659077291785</v>
      </c>
      <c r="E27" s="18">
        <f>C27*D27/100</f>
        <v>10.638554295915036</v>
      </c>
      <c r="F27" s="21"/>
      <c r="G27" s="55"/>
      <c r="H27" s="84" t="s">
        <v>34</v>
      </c>
      <c r="I27" s="84"/>
      <c r="J27" s="73">
        <f>0.00000079</f>
        <v>7.8999999999999995E-7</v>
      </c>
      <c r="K27" s="73">
        <f>'LA-Ref 0.5'!K6</f>
        <v>3.15</v>
      </c>
      <c r="L27" s="81">
        <f>'LA-Ref 0.5'!L6</f>
        <v>2166.0790000000002</v>
      </c>
      <c r="M27" s="5">
        <f>$F$41</f>
        <v>55.176430862049017</v>
      </c>
      <c r="N27" s="6">
        <f>100*J27*K27*(L27*0.00000001^3)^2*M27/INDEX('Reference-aQuartz'!$H$4:$H$17,MATCH($B$22,'Reference-aQuartz'!$A$4:$A$17,0))</f>
        <v>0.76352188659374276</v>
      </c>
      <c r="O27" s="32">
        <f>P27*100/65</f>
        <v>1.4800578109355629</v>
      </c>
      <c r="P27" s="32">
        <f t="shared" ref="P27:P40" si="3">N27*(1+$E$23)</f>
        <v>0.96203757710811588</v>
      </c>
      <c r="Q27" s="69"/>
      <c r="R27" s="110" t="s">
        <v>79</v>
      </c>
      <c r="S27" s="100">
        <f>('LA-Ref 0.5'!P6+'LA-Ref 0.5'!P7)*0.65</f>
        <v>42.364846282241693</v>
      </c>
      <c r="T27" s="100">
        <f>P27+P28</f>
        <v>0.96203757710811588</v>
      </c>
      <c r="U27" s="102">
        <f>(S27-T27)/S27</f>
        <v>0.97729160703903284</v>
      </c>
      <c r="V27" s="30">
        <f>(U27*S27+U29*S29+U30*S30+U31*S31)/S32</f>
        <v>0.93366261077473189</v>
      </c>
    </row>
    <row r="28" spans="1:48" x14ac:dyDescent="0.25">
      <c r="A28" s="1" t="s">
        <v>54</v>
      </c>
      <c r="B28" s="12">
        <f>0.65*'LA-Ref 0.5'!B7+0.35*B7</f>
        <v>9.4350000000000005</v>
      </c>
      <c r="C28" s="18">
        <f t="shared" ref="C28:C38" si="4">B28*(100-B$39)/B$41</f>
        <v>9.4360546146947613</v>
      </c>
      <c r="D28" s="18">
        <f>INDEX(MAC!$H$3:$H$16,MATCH($A28,MAC!$A$3:$A$16,0))</f>
        <v>31.664851266660783</v>
      </c>
      <c r="E28" s="18">
        <f t="shared" ref="E28:E39" si="5">C28*D28/100</f>
        <v>2.9879126591839777</v>
      </c>
      <c r="F28" s="21"/>
      <c r="G28" s="55"/>
      <c r="H28" s="84" t="s">
        <v>35</v>
      </c>
      <c r="I28" s="84">
        <v>94742</v>
      </c>
      <c r="J28" s="73">
        <v>0</v>
      </c>
      <c r="K28" s="81">
        <f>'LA-Ref 0.5'!K7</f>
        <v>3.16</v>
      </c>
      <c r="L28" s="81">
        <f>'LA-Ref 0.5'!L7</f>
        <v>4316.1279999999997</v>
      </c>
      <c r="M28" s="5">
        <f t="shared" ref="M28:M40" si="6">$F$41</f>
        <v>55.176430862049017</v>
      </c>
      <c r="N28" s="6">
        <f>100*J28*K28*(L28*0.00000001^3)^2*M28/INDEX('Reference-aQuartz'!$H$4:$H$17,MATCH($B$22,'Reference-aQuartz'!$A$4:$A$17,0))</f>
        <v>0</v>
      </c>
      <c r="O28" s="32">
        <f t="shared" ref="O28:O40" si="7">P28*100/65</f>
        <v>0</v>
      </c>
      <c r="P28" s="32">
        <f t="shared" si="3"/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0.5'!B8+0.35*B8</f>
        <v>5.7944999999999993</v>
      </c>
      <c r="C29" s="18">
        <f t="shared" si="4"/>
        <v>5.7951476910279567</v>
      </c>
      <c r="D29" s="18">
        <f>INDEX(MAC!$H$3:$H$16,MATCH($A29,MAC!$A$3:$A$16,0))</f>
        <v>214.68463619455559</v>
      </c>
      <c r="E29" s="18">
        <f t="shared" si="5"/>
        <v>12.441291737420558</v>
      </c>
      <c r="F29" s="21"/>
      <c r="G29" s="55"/>
      <c r="H29" s="84" t="s">
        <v>36</v>
      </c>
      <c r="I29" s="84">
        <v>81096</v>
      </c>
      <c r="J29" s="73">
        <f>0.00008899</f>
        <v>8.899E-5</v>
      </c>
      <c r="K29" s="81">
        <f>'LA-Ref 0.5'!K8</f>
        <v>3.29</v>
      </c>
      <c r="L29" s="81">
        <f>'LA-Ref 0.5'!L8</f>
        <v>347.22930000000002</v>
      </c>
      <c r="M29" s="5">
        <f t="shared" si="6"/>
        <v>55.176430862049017</v>
      </c>
      <c r="N29" s="6">
        <f>100*J29*K29*(L29*0.00000001^3)^2*M29/INDEX('Reference-aQuartz'!$H$4:$H$17,MATCH($B$22,'Reference-aQuartz'!$A$4:$A$17,0))</f>
        <v>2.3083682708327311</v>
      </c>
      <c r="O29" s="32">
        <f t="shared" si="7"/>
        <v>4.474683109614217</v>
      </c>
      <c r="P29" s="32">
        <f t="shared" si="3"/>
        <v>2.9085440212492411</v>
      </c>
      <c r="Q29" s="69"/>
      <c r="R29" s="89" t="s">
        <v>80</v>
      </c>
      <c r="S29" s="69">
        <f>'LA-Ref 0.5'!P8*0.65</f>
        <v>6.6266164042793037</v>
      </c>
      <c r="T29" s="69">
        <f>P29</f>
        <v>2.9085440212492411</v>
      </c>
      <c r="U29" s="34">
        <f>(S29-T29)/S29</f>
        <v>0.5610815771121177</v>
      </c>
    </row>
    <row r="30" spans="1:48" x14ac:dyDescent="0.25">
      <c r="A30" s="1" t="s">
        <v>0</v>
      </c>
      <c r="B30" s="12">
        <f>0.65*'LA-Ref 0.5'!B9+0.35*B9</f>
        <v>1.5249999999999999</v>
      </c>
      <c r="C30" s="18">
        <f t="shared" si="4"/>
        <v>1.525170459714839</v>
      </c>
      <c r="D30" s="18">
        <f>INDEX(MAC!$H$3:$H$16,MATCH($A30,MAC!$A$3:$A$16,0))</f>
        <v>28.686693628423974</v>
      </c>
      <c r="E30" s="18">
        <f t="shared" si="5"/>
        <v>0.43752097708962134</v>
      </c>
      <c r="F30" s="21"/>
      <c r="G30" s="55"/>
      <c r="H30" s="84" t="s">
        <v>37</v>
      </c>
      <c r="I30" s="84">
        <v>1841</v>
      </c>
      <c r="J30" s="73">
        <v>0</v>
      </c>
      <c r="K30" s="81">
        <f>'LA-Ref 0.5'!K9</f>
        <v>3.04</v>
      </c>
      <c r="L30" s="81">
        <f>'LA-Ref 0.5'!L9</f>
        <v>3541.5859999999998</v>
      </c>
      <c r="M30" s="5">
        <f t="shared" si="6"/>
        <v>55.176430862049017</v>
      </c>
      <c r="N30" s="6">
        <f>100*J30*K30*(L30*0.00000001^3)^2*M30/INDEX('Reference-aQuartz'!$H$4:$H$17,MATCH($B$22,'Reference-aQuartz'!$A$4:$A$17,0))</f>
        <v>0</v>
      </c>
      <c r="O30" s="32">
        <f t="shared" si="7"/>
        <v>0</v>
      </c>
      <c r="P30" s="32">
        <f t="shared" si="3"/>
        <v>0</v>
      </c>
      <c r="Q30" s="69"/>
      <c r="R30" s="89" t="s">
        <v>37</v>
      </c>
      <c r="S30" s="69">
        <f>'LA-Ref 0.5'!P9*0.65</f>
        <v>2.3605659551948133</v>
      </c>
      <c r="T30" s="69">
        <f>P30</f>
        <v>0</v>
      </c>
      <c r="U30" s="34">
        <f t="shared" ref="U30:U31" si="8">(S30-T30)/S30</f>
        <v>1</v>
      </c>
    </row>
    <row r="31" spans="1:48" x14ac:dyDescent="0.25">
      <c r="A31" s="1" t="s">
        <v>1</v>
      </c>
      <c r="B31" s="12">
        <f>0.65*'LA-Ref 0.5'!B10+0.35*B10</f>
        <v>44.744999999999997</v>
      </c>
      <c r="C31" s="18">
        <f t="shared" si="4"/>
        <v>44.75000145569868</v>
      </c>
      <c r="D31" s="18">
        <f>INDEX(MAC!$H$3:$H$16,MATCH($A31,MAC!$A$3:$A$16,0))</f>
        <v>124.77929454143408</v>
      </c>
      <c r="E31" s="18">
        <f t="shared" si="5"/>
        <v>55.83873612370229</v>
      </c>
      <c r="F31" s="21"/>
      <c r="G31" s="55"/>
      <c r="H31" s="84" t="s">
        <v>38</v>
      </c>
      <c r="I31" s="84">
        <v>98836</v>
      </c>
      <c r="J31" s="73">
        <v>0</v>
      </c>
      <c r="K31" s="81">
        <f>'LA-Ref 0.5'!K10</f>
        <v>3.75</v>
      </c>
      <c r="L31" s="81">
        <f>'LA-Ref 0.5'!L10</f>
        <v>430.91660000000002</v>
      </c>
      <c r="M31" s="5">
        <f t="shared" si="6"/>
        <v>55.176430862049017</v>
      </c>
      <c r="N31" s="6">
        <f>100*J31*K31*(L31*0.00000001^3)^2*M31/INDEX('Reference-aQuartz'!$H$4:$H$17,MATCH($B$22,'Reference-aQuartz'!$A$4:$A$17,0))</f>
        <v>0</v>
      </c>
      <c r="O31" s="32">
        <f t="shared" si="7"/>
        <v>0</v>
      </c>
      <c r="P31" s="32">
        <f t="shared" si="3"/>
        <v>0</v>
      </c>
      <c r="Q31" s="69"/>
      <c r="R31" s="89" t="s">
        <v>81</v>
      </c>
      <c r="S31" s="69">
        <f>'LA-Ref 0.5'!P10*0.65</f>
        <v>6.9948801462326609</v>
      </c>
      <c r="T31" s="69">
        <f>P31</f>
        <v>0</v>
      </c>
      <c r="U31" s="34">
        <f t="shared" si="8"/>
        <v>1</v>
      </c>
    </row>
    <row r="32" spans="1:48" x14ac:dyDescent="0.25">
      <c r="A32" s="1" t="s">
        <v>56</v>
      </c>
      <c r="B32" s="12">
        <f>0.65*'LA-Ref 0.5'!B11+0.35*B11</f>
        <v>1.1779999999999999</v>
      </c>
      <c r="C32" s="18">
        <f t="shared" si="4"/>
        <v>1.1781316731436595</v>
      </c>
      <c r="D32" s="18">
        <f>INDEX(MAC!$H$3:$H$16,MATCH($A32,MAC!$A$3:$A$16,0))</f>
        <v>122.32505440840811</v>
      </c>
      <c r="E32" s="18">
        <f t="shared" si="5"/>
        <v>1.4411502101756701</v>
      </c>
      <c r="F32" s="21"/>
      <c r="G32" s="55"/>
      <c r="H32" s="84" t="s">
        <v>40</v>
      </c>
      <c r="I32" s="84">
        <v>202220</v>
      </c>
      <c r="J32" s="73">
        <v>1.1359950000000001E-2</v>
      </c>
      <c r="K32" s="73">
        <v>2.65</v>
      </c>
      <c r="L32" s="73">
        <v>54.840229999999998</v>
      </c>
      <c r="M32" s="5">
        <f t="shared" si="6"/>
        <v>55.176430862049017</v>
      </c>
      <c r="N32" s="6">
        <f>100*J32*K32*(L32*0.00000001^3)^2*M32/INDEX('Reference-aQuartz'!$H$4:$H$17,MATCH($B$22,'Reference-aQuartz'!$A$4:$A$17,0))</f>
        <v>5.9204687176127502</v>
      </c>
      <c r="O32" s="32">
        <f t="shared" si="7"/>
        <v>11.476600898757024</v>
      </c>
      <c r="P32" s="32">
        <f t="shared" si="3"/>
        <v>7.4597905841920653</v>
      </c>
      <c r="Q32" s="69">
        <v>6.8</v>
      </c>
      <c r="R32" s="89" t="s">
        <v>84</v>
      </c>
      <c r="S32" s="69">
        <f>SUM(S27:S31)</f>
        <v>58.346908787948472</v>
      </c>
      <c r="T32" s="69">
        <f>SUM(T27:T31)</f>
        <v>3.870581598357357</v>
      </c>
    </row>
    <row r="33" spans="1:22" x14ac:dyDescent="0.25">
      <c r="A33" s="1" t="s">
        <v>57</v>
      </c>
      <c r="B33" s="12">
        <f>0.65*'LA-Ref 0.5'!B12+0.35*B12</f>
        <v>2.3840000000000003</v>
      </c>
      <c r="C33" s="18">
        <f t="shared" si="4"/>
        <v>2.3842664760394605</v>
      </c>
      <c r="D33" s="18">
        <f>INDEX(MAC!$H$3:$H$16,MATCH($A33,MAC!$A$3:$A$16,0))</f>
        <v>44.261072668681777</v>
      </c>
      <c r="E33" s="18">
        <f t="shared" si="5"/>
        <v>1.0553019175748437</v>
      </c>
      <c r="F33" s="21"/>
      <c r="G33" s="55"/>
      <c r="H33" s="84" t="s">
        <v>25</v>
      </c>
      <c r="I33" s="84">
        <v>73446</v>
      </c>
      <c r="J33" s="65">
        <v>5.2519999999999999E-5</v>
      </c>
      <c r="K33" s="73">
        <v>2.72</v>
      </c>
      <c r="L33" s="73">
        <v>367.52969999999999</v>
      </c>
      <c r="M33" s="5">
        <f t="shared" si="6"/>
        <v>55.176430862049017</v>
      </c>
      <c r="N33" s="6">
        <f>100*J33*K33*(L33*0.00000001^3)^2*M33/INDEX('Reference-aQuartz'!$H$4:$H$17,MATCH($B$22,'Reference-aQuartz'!$A$4:$A$17,0))</f>
        <v>1.2618675244927979</v>
      </c>
      <c r="O33" s="32">
        <f t="shared" si="7"/>
        <v>2.4460816628629622</v>
      </c>
      <c r="P33" s="32">
        <f t="shared" si="3"/>
        <v>1.5899530808609255</v>
      </c>
      <c r="Q33" s="69">
        <v>2.4</v>
      </c>
    </row>
    <row r="34" spans="1:22" x14ac:dyDescent="0.25">
      <c r="A34" s="1" t="s">
        <v>14</v>
      </c>
      <c r="B34" s="12">
        <f>0.65*'LA-Ref 0.5'!B13+0.35*B13</f>
        <v>0.11600000000000001</v>
      </c>
      <c r="C34" s="18">
        <f t="shared" si="4"/>
        <v>0.11601296611601401</v>
      </c>
      <c r="D34" s="18">
        <f>INDEX(MAC!$H$3:$H$16,MATCH($A34,MAC!$A$3:$A$16,0))</f>
        <v>97.328178229861322</v>
      </c>
      <c r="E34" s="18">
        <f t="shared" si="5"/>
        <v>0.11291330643114275</v>
      </c>
      <c r="F34" s="21"/>
      <c r="G34" s="55"/>
      <c r="H34" s="84" t="s">
        <v>21</v>
      </c>
      <c r="I34" s="84">
        <v>174</v>
      </c>
      <c r="J34" s="73">
        <v>8.0073000000000004E-4</v>
      </c>
      <c r="K34" s="73">
        <v>1.79</v>
      </c>
      <c r="L34" s="73">
        <v>112.8652</v>
      </c>
      <c r="M34" s="5">
        <f t="shared" si="6"/>
        <v>55.176430862049017</v>
      </c>
      <c r="N34" s="6">
        <f>100*J34*K34*(L34*0.00000001^3)^2*M34/INDEX('Reference-aQuartz'!$H$4:$H$17,MATCH($B$22,'Reference-aQuartz'!$A$4:$A$17,0))</f>
        <v>1.1939729941394974</v>
      </c>
      <c r="O34" s="32">
        <f t="shared" si="7"/>
        <v>2.3144707271011797</v>
      </c>
      <c r="P34" s="32">
        <f t="shared" si="3"/>
        <v>1.5044059726157668</v>
      </c>
      <c r="Q34" s="69"/>
    </row>
    <row r="35" spans="1:22" x14ac:dyDescent="0.25">
      <c r="A35" s="1" t="s">
        <v>58</v>
      </c>
      <c r="B35" s="12">
        <f>0.65*'LA-Ref 0.5'!B14+0.35*B14</f>
        <v>0.498</v>
      </c>
      <c r="C35" s="18">
        <f t="shared" si="4"/>
        <v>0.49805566487737046</v>
      </c>
      <c r="D35" s="18">
        <f>INDEX(MAC!$H$3:$H$16,MATCH($A35,MAC!$A$3:$A$16,0))</f>
        <v>19.10926020222594</v>
      </c>
      <c r="E35" s="18">
        <f t="shared" si="5"/>
        <v>9.5174752953343142E-2</v>
      </c>
      <c r="F35" s="21"/>
      <c r="G35" s="55"/>
      <c r="H35" s="84" t="s">
        <v>87</v>
      </c>
      <c r="I35" s="84">
        <v>155395</v>
      </c>
      <c r="J35" s="65">
        <v>7.08E-6</v>
      </c>
      <c r="K35" s="73">
        <v>2.16</v>
      </c>
      <c r="L35" s="73">
        <v>2330.7829999999999</v>
      </c>
      <c r="M35" s="5">
        <f t="shared" si="6"/>
        <v>55.176430862049017</v>
      </c>
      <c r="N35" s="6">
        <f>100*J35*K35*(L35*0.00000001^3)^2*M35/INDEX('Reference-aQuartz'!$H$4:$H$17,MATCH($B$22,'Reference-aQuartz'!$A$4:$A$17,0))</f>
        <v>5.4328279821059429</v>
      </c>
      <c r="O35" s="32">
        <f t="shared" si="7"/>
        <v>10.531328088389982</v>
      </c>
      <c r="P35" s="32">
        <f t="shared" si="3"/>
        <v>6.8453632574534877</v>
      </c>
      <c r="Q35" s="69"/>
    </row>
    <row r="36" spans="1:22" x14ac:dyDescent="0.25">
      <c r="A36" s="1" t="s">
        <v>59</v>
      </c>
      <c r="B36" s="12">
        <f>0.65*'LA-Ref 0.5'!B15+0.35*B15</f>
        <v>0.46299999999999997</v>
      </c>
      <c r="C36" s="18">
        <f t="shared" si="4"/>
        <v>0.46305175268719379</v>
      </c>
      <c r="D36" s="18">
        <f>INDEX(MAC!$H$3:$H$16,MATCH($A36,MAC!$A$3:$A$16,0))</f>
        <v>124.47726788956365</v>
      </c>
      <c r="E36" s="18">
        <f t="shared" si="5"/>
        <v>0.57639417065975795</v>
      </c>
      <c r="F36" s="21"/>
      <c r="G36" s="55"/>
      <c r="H36" s="84" t="s">
        <v>88</v>
      </c>
      <c r="I36" s="84">
        <v>81963</v>
      </c>
      <c r="J36" s="82">
        <v>0</v>
      </c>
      <c r="K36" s="73">
        <v>2.2400000000000002</v>
      </c>
      <c r="L36" s="73">
        <v>184.18799999999999</v>
      </c>
      <c r="M36" s="5">
        <f t="shared" si="6"/>
        <v>55.176430862049017</v>
      </c>
      <c r="N36" s="6">
        <f>100*J36*K36*(L36*0.00000001^3)^2*M36/INDEX('Reference-aQuartz'!$H$4:$H$17,MATCH($B$22,'Reference-aQuartz'!$A$4:$A$17,0))</f>
        <v>0</v>
      </c>
      <c r="O36" s="32">
        <f t="shared" si="7"/>
        <v>0</v>
      </c>
      <c r="P36" s="32">
        <f t="shared" si="3"/>
        <v>0</v>
      </c>
      <c r="Q36" s="69"/>
    </row>
    <row r="37" spans="1:22" x14ac:dyDescent="0.25">
      <c r="A37" s="1" t="s">
        <v>60</v>
      </c>
      <c r="B37" s="12">
        <f>0.65*'LA-Ref 0.5'!B16+0.35*B16</f>
        <v>0.253</v>
      </c>
      <c r="C37" s="18">
        <f t="shared" si="4"/>
        <v>0.25302827954613399</v>
      </c>
      <c r="D37" s="18">
        <f>INDEX(MAC!$H$3:$H$16,MATCH($A37,MAC!$A$3:$A$16,0))</f>
        <v>39.431437267071992</v>
      </c>
      <c r="E37" s="18">
        <f t="shared" si="5"/>
        <v>9.9772687317185388E-2</v>
      </c>
      <c r="F37" s="21"/>
      <c r="G37" s="55"/>
      <c r="H37" s="84" t="s">
        <v>89</v>
      </c>
      <c r="I37" s="84">
        <v>59327</v>
      </c>
      <c r="J37" s="65">
        <v>6.2920000000000001E-5</v>
      </c>
      <c r="K37" s="73">
        <v>2.12</v>
      </c>
      <c r="L37" s="73">
        <v>437.03399999999999</v>
      </c>
      <c r="M37" s="5">
        <f t="shared" si="6"/>
        <v>55.176430862049017</v>
      </c>
      <c r="N37" s="6">
        <f>100*J37*K37*(L37*0.00000001^3)^2*M37/INDEX('Reference-aQuartz'!$H$4:$H$17,MATCH($B$22,'Reference-aQuartz'!$A$4:$A$17,0))</f>
        <v>1.666058654970322</v>
      </c>
      <c r="O37" s="32">
        <f t="shared" si="7"/>
        <v>3.2295906234809317</v>
      </c>
      <c r="P37" s="32">
        <f t="shared" si="3"/>
        <v>2.0992339052626057</v>
      </c>
      <c r="Q37" s="69"/>
    </row>
    <row r="38" spans="1:22" x14ac:dyDescent="0.25">
      <c r="A38" s="19" t="s">
        <v>23</v>
      </c>
      <c r="B38" s="12">
        <f>0.65*'LA-Ref 0.5'!B17+0.35*B17</f>
        <v>0.15225</v>
      </c>
      <c r="C38" s="18">
        <f t="shared" si="4"/>
        <v>0.15226701802726839</v>
      </c>
      <c r="D38" s="18">
        <f>INDEX(MAC!$H$3:$H$16,MATCH($A38,MAC!$A$3:$A$16,0))</f>
        <v>197.69998688868492</v>
      </c>
      <c r="E38" s="18">
        <f t="shared" si="5"/>
        <v>0.30103187467570108</v>
      </c>
      <c r="F38" s="21"/>
      <c r="G38" s="55"/>
      <c r="H38" s="84" t="s">
        <v>90</v>
      </c>
      <c r="I38" s="84">
        <v>2105252</v>
      </c>
      <c r="J38" s="65">
        <v>6.1999999999999999E-6</v>
      </c>
      <c r="K38" s="73">
        <v>1.81</v>
      </c>
      <c r="L38" s="73">
        <v>1418.1569999999999</v>
      </c>
      <c r="M38" s="5">
        <f t="shared" si="6"/>
        <v>55.176430862049017</v>
      </c>
      <c r="N38" s="6">
        <f>100*J38*K38*(L38*0.00000001^3)^2*M38/INDEX('Reference-aQuartz'!$H$4:$H$17,MATCH($B$22,'Reference-aQuartz'!$A$4:$A$17,0))</f>
        <v>1.4758905505301549</v>
      </c>
      <c r="O38" s="32">
        <f t="shared" si="7"/>
        <v>2.860957067181531</v>
      </c>
      <c r="P38" s="32">
        <f t="shared" si="3"/>
        <v>1.8596220936679952</v>
      </c>
      <c r="Q38" s="69"/>
    </row>
    <row r="39" spans="1:22" x14ac:dyDescent="0.25">
      <c r="A39" s="1" t="s">
        <v>66</v>
      </c>
      <c r="B39" s="12">
        <f>0.65*'LA-Ref 0.5'!B18+0.35*B18</f>
        <v>3.8155000000000001</v>
      </c>
      <c r="C39" s="18">
        <f>B39</f>
        <v>3.8155000000000001</v>
      </c>
      <c r="D39" s="18">
        <f>INDEX(MAC!$H$3:$H$16,MATCH($A39,MAC!$A$3:$A$16,0))</f>
        <v>9.592279079279237</v>
      </c>
      <c r="E39" s="18">
        <f t="shared" si="5"/>
        <v>0.36599340826989929</v>
      </c>
      <c r="F39" s="21"/>
      <c r="G39" s="55"/>
      <c r="H39" s="84" t="s">
        <v>95</v>
      </c>
      <c r="I39" s="84"/>
      <c r="J39" s="65">
        <v>4.8199999999999996E-6</v>
      </c>
      <c r="K39" s="73">
        <v>2.86</v>
      </c>
      <c r="L39" s="73">
        <v>525.89329999999995</v>
      </c>
      <c r="M39" s="5">
        <f t="shared" si="6"/>
        <v>55.176430862049017</v>
      </c>
      <c r="N39" s="6">
        <f>100*J39*K39*(L39*0.00000001^3)^2*M39/INDEX('Reference-aQuartz'!$H$4:$H$17,MATCH($B$22,'Reference-aQuartz'!$A$4:$A$17,0))</f>
        <v>0.24931224467426438</v>
      </c>
      <c r="O39" s="32">
        <f t="shared" si="7"/>
        <v>0.48328219736857403</v>
      </c>
      <c r="P39" s="32">
        <f t="shared" si="3"/>
        <v>0.31413342828957314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84" t="s">
        <v>94</v>
      </c>
      <c r="I40" s="84">
        <v>66333</v>
      </c>
      <c r="J40" s="65">
        <v>2.811E-5</v>
      </c>
      <c r="K40" s="73">
        <v>1.98</v>
      </c>
      <c r="L40" s="73">
        <v>322.44869999999997</v>
      </c>
      <c r="M40" s="5">
        <f t="shared" si="6"/>
        <v>55.176430862049017</v>
      </c>
      <c r="N40" s="6">
        <f>100*J40*K40*(L40*0.00000001^3)^2*M40/INDEX('Reference-aQuartz'!$H$4:$H$17,MATCH($B$22,'Reference-aQuartz'!$A$4:$A$17,0))</f>
        <v>0.37842738649170499</v>
      </c>
      <c r="O40" s="32">
        <f t="shared" si="7"/>
        <v>0.73356693381468963</v>
      </c>
      <c r="P40" s="32">
        <f t="shared" si="3"/>
        <v>0.47681850697954831</v>
      </c>
    </row>
    <row r="41" spans="1:22" x14ac:dyDescent="0.25">
      <c r="A41" s="73" t="s">
        <v>7</v>
      </c>
      <c r="B41" s="40">
        <f>SUM(B27:B38)</f>
        <v>96.173749999999984</v>
      </c>
      <c r="C41" s="40">
        <f>SUM(C27:C39)</f>
        <v>100</v>
      </c>
      <c r="D41" s="73" t="s">
        <v>29</v>
      </c>
      <c r="E41" s="56">
        <f>SUM(E27:E39)</f>
        <v>86.391748121369005</v>
      </c>
      <c r="F41" s="57">
        <f>E41*(1-C23)+D40*C23</f>
        <v>55.176430862049017</v>
      </c>
      <c r="H41" s="107" t="s">
        <v>7</v>
      </c>
      <c r="I41" s="108"/>
      <c r="J41" s="108"/>
      <c r="K41" s="108"/>
      <c r="L41" s="108"/>
      <c r="M41" s="109"/>
      <c r="N41" s="6">
        <f>SUM(N27:N40)</f>
        <v>20.650716212443911</v>
      </c>
      <c r="O41" s="31">
        <f>SUM(O27:O40)</f>
        <v>40.030619119506653</v>
      </c>
      <c r="P41" s="31">
        <f>SUM(P27:P40)</f>
        <v>26.019902427679323</v>
      </c>
    </row>
    <row r="42" spans="1:22" x14ac:dyDescent="0.25">
      <c r="H42" s="107" t="s">
        <v>28</v>
      </c>
      <c r="I42" s="108"/>
      <c r="J42" s="108"/>
      <c r="K42" s="108"/>
      <c r="L42" s="108"/>
      <c r="M42" s="109"/>
      <c r="N42" s="6">
        <f>100-N41</f>
        <v>79.349283787556089</v>
      </c>
      <c r="O42" s="31">
        <f>100-O41</f>
        <v>59.969380880493347</v>
      </c>
      <c r="P42" s="31">
        <f>100-P41</f>
        <v>73.980097572320673</v>
      </c>
    </row>
    <row r="44" spans="1:22" x14ac:dyDescent="0.25">
      <c r="A44" s="42" t="s">
        <v>32</v>
      </c>
      <c r="B44" s="43">
        <v>44847</v>
      </c>
      <c r="C44" s="47" t="s">
        <v>85</v>
      </c>
      <c r="D44" s="48"/>
      <c r="E44" s="48" t="s">
        <v>77</v>
      </c>
      <c r="F44" s="49"/>
    </row>
    <row r="45" spans="1:22" x14ac:dyDescent="0.25">
      <c r="A45" s="44" t="s">
        <v>78</v>
      </c>
      <c r="B45" s="50"/>
      <c r="C45" s="51">
        <v>0.44</v>
      </c>
      <c r="D45" s="52"/>
      <c r="E45" s="52">
        <v>0.28999999999999998</v>
      </c>
      <c r="F45" s="53"/>
    </row>
    <row r="46" spans="1:22" x14ac:dyDescent="0.25">
      <c r="H46" s="46" t="s">
        <v>6</v>
      </c>
      <c r="I46" s="28">
        <v>3.57</v>
      </c>
      <c r="J46" s="33"/>
    </row>
    <row r="47" spans="1:22" x14ac:dyDescent="0.25">
      <c r="A47" s="73" t="s">
        <v>8</v>
      </c>
      <c r="B47" s="73" t="s">
        <v>30</v>
      </c>
      <c r="C47" s="73" t="s">
        <v>31</v>
      </c>
      <c r="D47" s="73" t="s">
        <v>68</v>
      </c>
      <c r="E47" s="73" t="s">
        <v>69</v>
      </c>
      <c r="F47" s="73" t="s">
        <v>74</v>
      </c>
      <c r="G47" s="54"/>
      <c r="H47" s="73" t="s">
        <v>9</v>
      </c>
      <c r="I47" s="73" t="s">
        <v>86</v>
      </c>
      <c r="J47" s="73" t="s">
        <v>2</v>
      </c>
      <c r="K47" s="73" t="s">
        <v>3</v>
      </c>
      <c r="L47" s="73" t="s">
        <v>4</v>
      </c>
      <c r="M47" s="73" t="s">
        <v>5</v>
      </c>
      <c r="N47" s="5" t="s">
        <v>15</v>
      </c>
      <c r="O47" s="5" t="s">
        <v>15</v>
      </c>
      <c r="P47" s="5" t="s">
        <v>15</v>
      </c>
      <c r="Q47" s="88" t="s">
        <v>96</v>
      </c>
      <c r="R47" s="89"/>
      <c r="S47" s="96" t="s">
        <v>122</v>
      </c>
      <c r="T47" s="96" t="s">
        <v>123</v>
      </c>
      <c r="U47" s="88" t="s">
        <v>82</v>
      </c>
      <c r="V47" s="36" t="s">
        <v>83</v>
      </c>
    </row>
    <row r="48" spans="1:22" x14ac:dyDescent="0.25">
      <c r="A48" s="73" t="s">
        <v>11</v>
      </c>
      <c r="B48" s="73" t="s">
        <v>93</v>
      </c>
      <c r="C48" s="73" t="s">
        <v>93</v>
      </c>
      <c r="D48" s="73" t="s">
        <v>13</v>
      </c>
      <c r="E48" s="73" t="s">
        <v>13</v>
      </c>
      <c r="F48" s="73" t="s">
        <v>13</v>
      </c>
      <c r="G48" s="54"/>
      <c r="H48" s="73" t="s">
        <v>11</v>
      </c>
      <c r="I48" s="73" t="s">
        <v>11</v>
      </c>
      <c r="J48" s="73" t="s">
        <v>11</v>
      </c>
      <c r="K48" s="73" t="s">
        <v>16</v>
      </c>
      <c r="L48" s="73" t="s">
        <v>19</v>
      </c>
      <c r="M48" s="73" t="s">
        <v>13</v>
      </c>
      <c r="N48" s="5" t="s">
        <v>75</v>
      </c>
      <c r="O48" s="88" t="s">
        <v>113</v>
      </c>
      <c r="P48" s="73" t="s">
        <v>76</v>
      </c>
      <c r="Q48" s="88" t="s">
        <v>76</v>
      </c>
      <c r="R48" s="89"/>
      <c r="S48" s="88" t="s">
        <v>76</v>
      </c>
      <c r="T48" s="88" t="s">
        <v>76</v>
      </c>
      <c r="U48" s="88" t="s">
        <v>11</v>
      </c>
      <c r="V48" s="36" t="s">
        <v>11</v>
      </c>
    </row>
    <row r="49" spans="1:22" x14ac:dyDescent="0.25">
      <c r="A49" s="1" t="s">
        <v>53</v>
      </c>
      <c r="B49" s="12">
        <f>0.65*'LA-Ref 0.5'!B6+0.35*B6</f>
        <v>29.63</v>
      </c>
      <c r="C49" s="18">
        <f>B49*(100-B$39)/B$41</f>
        <v>29.63331194842668</v>
      </c>
      <c r="D49" s="18">
        <f>INDEX(MAC!$H$3:$H$16,MATCH($A49,MAC!$A$3:$A$16,0))</f>
        <v>35.900659077291785</v>
      </c>
      <c r="E49" s="18">
        <f>C49*D49/100</f>
        <v>10.638554295915036</v>
      </c>
      <c r="F49" s="21"/>
      <c r="G49" s="55"/>
      <c r="H49" s="84" t="s">
        <v>34</v>
      </c>
      <c r="I49" s="84"/>
      <c r="J49" s="65">
        <v>7.4000000000000001E-7</v>
      </c>
      <c r="K49" s="73">
        <f>'LA-Ref 0.5'!K6</f>
        <v>3.15</v>
      </c>
      <c r="L49" s="81">
        <f>'LA-Ref 0.5'!L6</f>
        <v>2166.0790000000002</v>
      </c>
      <c r="M49" s="5">
        <f>$F$63</f>
        <v>52.892383257708531</v>
      </c>
      <c r="N49" s="6">
        <f>100*J49*K49*(L49*0.00000001^3)^2*M49/INDEX('Reference-aQuartz'!$H$4:$H$17,MATCH($B$44,'Reference-aQuartz'!$A$4:$A$17,0))</f>
        <v>0.71071154672431314</v>
      </c>
      <c r="O49" s="32">
        <f>P49*100/65</f>
        <v>1.4104890696528676</v>
      </c>
      <c r="P49" s="32">
        <f t="shared" ref="P49:P62" si="9">N49*(1+$E$45)</f>
        <v>0.91681789527436397</v>
      </c>
      <c r="Q49" s="69"/>
      <c r="R49" s="110" t="s">
        <v>79</v>
      </c>
      <c r="S49" s="100">
        <f>('LA-Ref 0.5'!P6+'LA-Ref 0.5'!P7)*0.65</f>
        <v>42.364846282241693</v>
      </c>
      <c r="T49" s="100">
        <f>P49+P50</f>
        <v>0.91681789527436397</v>
      </c>
      <c r="U49" s="102">
        <f>(S49-T49)/S49</f>
        <v>0.97835899393647341</v>
      </c>
      <c r="V49" s="30">
        <f>(U49*S49+U51*S51+U52*S52+U53*S53)/S54</f>
        <v>0.94519694672835741</v>
      </c>
    </row>
    <row r="50" spans="1:22" x14ac:dyDescent="0.25">
      <c r="A50" s="1" t="s">
        <v>54</v>
      </c>
      <c r="B50" s="12">
        <f>0.65*'LA-Ref 0.5'!B7+0.35*B7</f>
        <v>9.4350000000000005</v>
      </c>
      <c r="C50" s="18">
        <f t="shared" ref="C50:C60" si="10">B50*(100-B$39)/B$41</f>
        <v>9.4360546146947613</v>
      </c>
      <c r="D50" s="18">
        <f>INDEX(MAC!$H$3:$H$16,MATCH($A50,MAC!$A$3:$A$16,0))</f>
        <v>31.664851266660783</v>
      </c>
      <c r="E50" s="18">
        <f t="shared" ref="E50:E61" si="11">C50*D50/100</f>
        <v>2.9879126591839777</v>
      </c>
      <c r="F50" s="21"/>
      <c r="G50" s="55"/>
      <c r="H50" s="84" t="s">
        <v>35</v>
      </c>
      <c r="I50" s="84">
        <v>94742</v>
      </c>
      <c r="J50" s="73">
        <v>0</v>
      </c>
      <c r="K50" s="81">
        <f>'LA-Ref 0.5'!K7</f>
        <v>3.16</v>
      </c>
      <c r="L50" s="81">
        <f>'LA-Ref 0.5'!L7</f>
        <v>4316.1279999999997</v>
      </c>
      <c r="M50" s="5">
        <f t="shared" ref="M50:M62" si="12">$F$63</f>
        <v>52.892383257708531</v>
      </c>
      <c r="N50" s="6">
        <f>100*J50*K50*(L50*0.00000001^3)^2*M50/INDEX('Reference-aQuartz'!$H$4:$H$17,MATCH($B$44,'Reference-aQuartz'!$A$4:$A$17,0))</f>
        <v>0</v>
      </c>
      <c r="O50" s="32">
        <f t="shared" ref="O50:O62" si="13">P50*100/65</f>
        <v>0</v>
      </c>
      <c r="P50" s="32">
        <f t="shared" si="9"/>
        <v>0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0.5'!B8+0.35*B8</f>
        <v>5.7944999999999993</v>
      </c>
      <c r="C51" s="18">
        <f t="shared" si="10"/>
        <v>5.7951476910279567</v>
      </c>
      <c r="D51" s="18">
        <f>INDEX(MAC!$H$3:$H$16,MATCH($A51,MAC!$A$3:$A$16,0))</f>
        <v>214.68463619455559</v>
      </c>
      <c r="E51" s="18">
        <f t="shared" si="11"/>
        <v>12.441291737420558</v>
      </c>
      <c r="F51" s="21"/>
      <c r="G51" s="55"/>
      <c r="H51" s="84" t="s">
        <v>36</v>
      </c>
      <c r="I51" s="84">
        <v>81096</v>
      </c>
      <c r="J51" s="65">
        <v>6.8590000000000006E-5</v>
      </c>
      <c r="K51" s="81">
        <f>'LA-Ref 0.5'!K8</f>
        <v>3.29</v>
      </c>
      <c r="L51" s="81">
        <f>'LA-Ref 0.5'!L8</f>
        <v>347.22930000000002</v>
      </c>
      <c r="M51" s="5">
        <f t="shared" si="12"/>
        <v>52.892383257708531</v>
      </c>
      <c r="N51" s="6">
        <f>100*J51*K51*(L51*0.00000001^3)^2*M51/INDEX('Reference-aQuartz'!$H$4:$H$17,MATCH($B$44,'Reference-aQuartz'!$A$4:$A$17,0))</f>
        <v>1.7680394226877914</v>
      </c>
      <c r="O51" s="32">
        <f t="shared" si="13"/>
        <v>3.5088782388726938</v>
      </c>
      <c r="P51" s="32">
        <f t="shared" si="9"/>
        <v>2.2807708552672508</v>
      </c>
      <c r="Q51" s="69"/>
      <c r="R51" s="89" t="s">
        <v>80</v>
      </c>
      <c r="S51" s="69">
        <f>'LA-Ref 0.5'!P8*0.65</f>
        <v>6.6266164042793037</v>
      </c>
      <c r="T51" s="69">
        <f>P51</f>
        <v>2.2807708552672508</v>
      </c>
      <c r="U51" s="34">
        <f>(S51-T51)/S51</f>
        <v>0.65581667684968359</v>
      </c>
    </row>
    <row r="52" spans="1:22" x14ac:dyDescent="0.25">
      <c r="A52" s="1" t="s">
        <v>0</v>
      </c>
      <c r="B52" s="12">
        <f>0.65*'LA-Ref 0.5'!B9+0.35*B9</f>
        <v>1.5249999999999999</v>
      </c>
      <c r="C52" s="18">
        <f t="shared" si="10"/>
        <v>1.525170459714839</v>
      </c>
      <c r="D52" s="18">
        <f>INDEX(MAC!$H$3:$H$16,MATCH($A52,MAC!$A$3:$A$16,0))</f>
        <v>28.686693628423974</v>
      </c>
      <c r="E52" s="18">
        <f t="shared" si="11"/>
        <v>0.43752097708962134</v>
      </c>
      <c r="F52" s="21"/>
      <c r="G52" s="55"/>
      <c r="H52" s="84" t="s">
        <v>37</v>
      </c>
      <c r="I52" s="84">
        <v>1841</v>
      </c>
      <c r="J52" s="73">
        <v>0</v>
      </c>
      <c r="K52" s="81">
        <f>'LA-Ref 0.5'!K9</f>
        <v>3.04</v>
      </c>
      <c r="L52" s="81">
        <f>'LA-Ref 0.5'!L9</f>
        <v>3541.5859999999998</v>
      </c>
      <c r="M52" s="5">
        <f t="shared" si="12"/>
        <v>52.892383257708531</v>
      </c>
      <c r="N52" s="6">
        <f>100*J52*K52*(L52*0.00000001^3)^2*M52/INDEX('Reference-aQuartz'!$H$4:$H$17,MATCH($B$44,'Reference-aQuartz'!$A$4:$A$17,0))</f>
        <v>0</v>
      </c>
      <c r="O52" s="32">
        <f t="shared" si="13"/>
        <v>0</v>
      </c>
      <c r="P52" s="32">
        <f t="shared" si="9"/>
        <v>0</v>
      </c>
      <c r="Q52" s="69"/>
      <c r="R52" s="89" t="s">
        <v>37</v>
      </c>
      <c r="S52" s="69">
        <f>'LA-Ref 0.5'!P9*0.65</f>
        <v>2.3605659551948133</v>
      </c>
      <c r="T52" s="69">
        <f>P52</f>
        <v>0</v>
      </c>
      <c r="U52" s="34">
        <f t="shared" ref="U52:U53" si="14">(S52-T52)/S52</f>
        <v>1</v>
      </c>
    </row>
    <row r="53" spans="1:22" x14ac:dyDescent="0.25">
      <c r="A53" s="1" t="s">
        <v>1</v>
      </c>
      <c r="B53" s="12">
        <f>0.65*'LA-Ref 0.5'!B10+0.35*B10</f>
        <v>44.744999999999997</v>
      </c>
      <c r="C53" s="18">
        <f t="shared" si="10"/>
        <v>44.75000145569868</v>
      </c>
      <c r="D53" s="18">
        <f>INDEX(MAC!$H$3:$H$16,MATCH($A53,MAC!$A$3:$A$16,0))</f>
        <v>124.77929454143408</v>
      </c>
      <c r="E53" s="18">
        <f t="shared" si="11"/>
        <v>55.83873612370229</v>
      </c>
      <c r="F53" s="21"/>
      <c r="G53" s="55"/>
      <c r="H53" s="84" t="s">
        <v>38</v>
      </c>
      <c r="I53" s="84">
        <v>98836</v>
      </c>
      <c r="J53" s="73">
        <v>0</v>
      </c>
      <c r="K53" s="81">
        <f>'LA-Ref 0.5'!K10</f>
        <v>3.75</v>
      </c>
      <c r="L53" s="81">
        <f>'LA-Ref 0.5'!L10</f>
        <v>430.91660000000002</v>
      </c>
      <c r="M53" s="5">
        <f t="shared" si="12"/>
        <v>52.892383257708531</v>
      </c>
      <c r="N53" s="6">
        <f>100*J53*K53*(L53*0.00000001^3)^2*M53/INDEX('Reference-aQuartz'!$H$4:$H$17,MATCH($B$44,'Reference-aQuartz'!$A$4:$A$17,0))</f>
        <v>0</v>
      </c>
      <c r="O53" s="32">
        <f t="shared" si="13"/>
        <v>0</v>
      </c>
      <c r="P53" s="32">
        <f t="shared" si="9"/>
        <v>0</v>
      </c>
      <c r="Q53" s="69"/>
      <c r="R53" s="89" t="s">
        <v>81</v>
      </c>
      <c r="S53" s="69">
        <f>'LA-Ref 0.5'!P10*0.65</f>
        <v>6.9948801462326609</v>
      </c>
      <c r="T53" s="69">
        <f>P53</f>
        <v>0</v>
      </c>
      <c r="U53" s="34">
        <f t="shared" si="14"/>
        <v>1</v>
      </c>
    </row>
    <row r="54" spans="1:22" x14ac:dyDescent="0.25">
      <c r="A54" s="1" t="s">
        <v>56</v>
      </c>
      <c r="B54" s="12">
        <f>0.65*'LA-Ref 0.5'!B11+0.35*B11</f>
        <v>1.1779999999999999</v>
      </c>
      <c r="C54" s="18">
        <f t="shared" si="10"/>
        <v>1.1781316731436595</v>
      </c>
      <c r="D54" s="18">
        <f>INDEX(MAC!$H$3:$H$16,MATCH($A54,MAC!$A$3:$A$16,0))</f>
        <v>122.32505440840811</v>
      </c>
      <c r="E54" s="18">
        <f t="shared" si="11"/>
        <v>1.4411502101756701</v>
      </c>
      <c r="F54" s="21"/>
      <c r="G54" s="55"/>
      <c r="H54" s="84" t="s">
        <v>40</v>
      </c>
      <c r="I54" s="84">
        <v>202220</v>
      </c>
      <c r="J54" s="73">
        <v>8.7321099999999995E-3</v>
      </c>
      <c r="K54" s="73">
        <v>2.65</v>
      </c>
      <c r="L54" s="73">
        <v>54.847189999999998</v>
      </c>
      <c r="M54" s="5">
        <f t="shared" si="12"/>
        <v>52.892383257708531</v>
      </c>
      <c r="N54" s="6">
        <f>100*J54*K54*(L54*0.00000001^3)^2*M54/INDEX('Reference-aQuartz'!$H$4:$H$17,MATCH($B$44,'Reference-aQuartz'!$A$4:$A$17,0))</f>
        <v>4.5235182855326306</v>
      </c>
      <c r="O54" s="32">
        <f t="shared" si="13"/>
        <v>8.9774439820570677</v>
      </c>
      <c r="P54" s="32">
        <f t="shared" si="9"/>
        <v>5.8353385883370938</v>
      </c>
      <c r="Q54" s="69">
        <v>5.3</v>
      </c>
      <c r="R54" s="89" t="s">
        <v>84</v>
      </c>
      <c r="S54" s="69">
        <f>SUM(S49:S53)</f>
        <v>58.346908787948472</v>
      </c>
      <c r="T54" s="69">
        <f>SUM(T49:T53)</f>
        <v>3.1975887505416147</v>
      </c>
    </row>
    <row r="55" spans="1:22" x14ac:dyDescent="0.25">
      <c r="A55" s="1" t="s">
        <v>57</v>
      </c>
      <c r="B55" s="12">
        <f>0.65*'LA-Ref 0.5'!B12+0.35*B12</f>
        <v>2.3840000000000003</v>
      </c>
      <c r="C55" s="18">
        <f t="shared" si="10"/>
        <v>2.3842664760394605</v>
      </c>
      <c r="D55" s="18">
        <f>INDEX(MAC!$H$3:$H$16,MATCH($A55,MAC!$A$3:$A$16,0))</f>
        <v>44.261072668681777</v>
      </c>
      <c r="E55" s="18">
        <f t="shared" si="11"/>
        <v>1.0553019175748437</v>
      </c>
      <c r="F55" s="21"/>
      <c r="G55" s="55"/>
      <c r="H55" s="84" t="s">
        <v>25</v>
      </c>
      <c r="I55" s="84">
        <v>73446</v>
      </c>
      <c r="J55" s="65">
        <v>4.7540000000000002E-5</v>
      </c>
      <c r="K55" s="73">
        <v>2.71</v>
      </c>
      <c r="L55" s="73">
        <v>368.51600000000002</v>
      </c>
      <c r="M55" s="5">
        <f t="shared" si="12"/>
        <v>52.892383257708531</v>
      </c>
      <c r="N55" s="6">
        <f>100*J55*K55*(L55*0.00000001^3)^2*M55/INDEX('Reference-aQuartz'!$H$4:$H$17,MATCH($B$44,'Reference-aQuartz'!$A$4:$A$17,0))</f>
        <v>1.1369560561278989</v>
      </c>
      <c r="O55" s="32">
        <f t="shared" si="13"/>
        <v>2.2564204806230608</v>
      </c>
      <c r="P55" s="32">
        <f t="shared" si="9"/>
        <v>1.4666733124049895</v>
      </c>
      <c r="Q55" s="69">
        <v>3</v>
      </c>
    </row>
    <row r="56" spans="1:22" x14ac:dyDescent="0.25">
      <c r="A56" s="1" t="s">
        <v>14</v>
      </c>
      <c r="B56" s="12">
        <f>0.65*'LA-Ref 0.5'!B13+0.35*B13</f>
        <v>0.11600000000000001</v>
      </c>
      <c r="C56" s="18">
        <f t="shared" si="10"/>
        <v>0.11601296611601401</v>
      </c>
      <c r="D56" s="18">
        <f>INDEX(MAC!$H$3:$H$16,MATCH($A56,MAC!$A$3:$A$16,0))</f>
        <v>97.328178229861322</v>
      </c>
      <c r="E56" s="18">
        <f t="shared" si="11"/>
        <v>0.11291330643114275</v>
      </c>
      <c r="F56" s="21"/>
      <c r="G56" s="55"/>
      <c r="H56" s="84" t="s">
        <v>21</v>
      </c>
      <c r="I56" s="84">
        <v>174</v>
      </c>
      <c r="J56" s="73">
        <v>7.6888E-4</v>
      </c>
      <c r="K56" s="73">
        <v>1.79</v>
      </c>
      <c r="L56" s="73">
        <v>112.96939999999999</v>
      </c>
      <c r="M56" s="5">
        <f t="shared" si="12"/>
        <v>52.892383257708531</v>
      </c>
      <c r="N56" s="6">
        <f>100*J56*K56*(L56*0.00000001^3)^2*M56/INDEX('Reference-aQuartz'!$H$4:$H$17,MATCH($B$44,'Reference-aQuartz'!$A$4:$A$17,0))</f>
        <v>1.1413944422324085</v>
      </c>
      <c r="O56" s="32">
        <f t="shared" si="13"/>
        <v>2.2652289699689336</v>
      </c>
      <c r="P56" s="32">
        <f t="shared" si="9"/>
        <v>1.472398830479807</v>
      </c>
      <c r="Q56" s="69"/>
    </row>
    <row r="57" spans="1:22" x14ac:dyDescent="0.25">
      <c r="A57" s="1" t="s">
        <v>58</v>
      </c>
      <c r="B57" s="12">
        <f>0.65*'LA-Ref 0.5'!B14+0.35*B14</f>
        <v>0.498</v>
      </c>
      <c r="C57" s="18">
        <f t="shared" si="10"/>
        <v>0.49805566487737046</v>
      </c>
      <c r="D57" s="18">
        <f>INDEX(MAC!$H$3:$H$16,MATCH($A57,MAC!$A$3:$A$16,0))</f>
        <v>19.10926020222594</v>
      </c>
      <c r="E57" s="18">
        <f t="shared" si="11"/>
        <v>9.5174752953343142E-2</v>
      </c>
      <c r="F57" s="21"/>
      <c r="G57" s="55"/>
      <c r="H57" s="84" t="s">
        <v>87</v>
      </c>
      <c r="I57" s="84">
        <v>155395</v>
      </c>
      <c r="J57" s="65">
        <v>7.2899999999999997E-6</v>
      </c>
      <c r="K57" s="73">
        <v>2.16</v>
      </c>
      <c r="L57" s="73">
        <v>2329.6999999999998</v>
      </c>
      <c r="M57" s="5">
        <f t="shared" si="12"/>
        <v>52.892383257708531</v>
      </c>
      <c r="N57" s="6">
        <f>100*J57*K57*(L57*0.00000001^3)^2*M57/INDEX('Reference-aQuartz'!$H$4:$H$17,MATCH($B$44,'Reference-aQuartz'!$A$4:$A$17,0))</f>
        <v>5.5537176027647615</v>
      </c>
      <c r="O57" s="32">
        <f t="shared" si="13"/>
        <v>11.021993396256219</v>
      </c>
      <c r="P57" s="32">
        <f t="shared" si="9"/>
        <v>7.1642957075665423</v>
      </c>
      <c r="Q57" s="69"/>
    </row>
    <row r="58" spans="1:22" x14ac:dyDescent="0.25">
      <c r="A58" s="1" t="s">
        <v>59</v>
      </c>
      <c r="B58" s="12">
        <f>0.65*'LA-Ref 0.5'!B15+0.35*B15</f>
        <v>0.46299999999999997</v>
      </c>
      <c r="C58" s="18">
        <f t="shared" si="10"/>
        <v>0.46305175268719379</v>
      </c>
      <c r="D58" s="18">
        <f>INDEX(MAC!$H$3:$H$16,MATCH($A58,MAC!$A$3:$A$16,0))</f>
        <v>124.47726788956365</v>
      </c>
      <c r="E58" s="18">
        <f t="shared" si="11"/>
        <v>0.57639417065975795</v>
      </c>
      <c r="F58" s="21"/>
      <c r="G58" s="55"/>
      <c r="H58" s="84" t="s">
        <v>88</v>
      </c>
      <c r="I58" s="84">
        <v>81963</v>
      </c>
      <c r="J58" s="82">
        <v>0</v>
      </c>
      <c r="K58" s="73">
        <v>2.2400000000000002</v>
      </c>
      <c r="L58" s="73">
        <v>183.61770000000001</v>
      </c>
      <c r="M58" s="5">
        <f t="shared" si="12"/>
        <v>52.892383257708531</v>
      </c>
      <c r="N58" s="6">
        <f>100*J58*K58*(L58*0.00000001^3)^2*M58/INDEX('Reference-aQuartz'!$H$4:$H$17,MATCH($B$44,'Reference-aQuartz'!$A$4:$A$17,0))</f>
        <v>0</v>
      </c>
      <c r="O58" s="32">
        <f t="shared" si="13"/>
        <v>0</v>
      </c>
      <c r="P58" s="32">
        <f t="shared" si="9"/>
        <v>0</v>
      </c>
      <c r="Q58" s="69"/>
    </row>
    <row r="59" spans="1:22" x14ac:dyDescent="0.25">
      <c r="A59" s="1" t="s">
        <v>60</v>
      </c>
      <c r="B59" s="12">
        <f>0.65*'LA-Ref 0.5'!B16+0.35*B16</f>
        <v>0.253</v>
      </c>
      <c r="C59" s="18">
        <f t="shared" si="10"/>
        <v>0.25302827954613399</v>
      </c>
      <c r="D59" s="18">
        <f>INDEX(MAC!$H$3:$H$16,MATCH($A59,MAC!$A$3:$A$16,0))</f>
        <v>39.431437267071992</v>
      </c>
      <c r="E59" s="18">
        <f t="shared" si="11"/>
        <v>9.9772687317185388E-2</v>
      </c>
      <c r="F59" s="21"/>
      <c r="G59" s="55"/>
      <c r="H59" s="84" t="s">
        <v>89</v>
      </c>
      <c r="I59" s="84">
        <v>59327</v>
      </c>
      <c r="J59" s="73">
        <v>1.0547E-4</v>
      </c>
      <c r="K59" s="73">
        <v>2.12</v>
      </c>
      <c r="L59" s="73">
        <v>437.07990000000001</v>
      </c>
      <c r="M59" s="5">
        <f t="shared" si="12"/>
        <v>52.892383257708531</v>
      </c>
      <c r="N59" s="6">
        <f>100*J59*K59*(L59*0.00000001^3)^2*M59/INDEX('Reference-aQuartz'!$H$4:$H$17,MATCH($B$44,'Reference-aQuartz'!$A$4:$A$17,0))</f>
        <v>2.7758052384429628</v>
      </c>
      <c r="O59" s="32">
        <f t="shared" si="13"/>
        <v>5.5089057809098803</v>
      </c>
      <c r="P59" s="32">
        <f t="shared" si="9"/>
        <v>3.5807887575914221</v>
      </c>
      <c r="Q59" s="69"/>
    </row>
    <row r="60" spans="1:22" x14ac:dyDescent="0.25">
      <c r="A60" s="19" t="s">
        <v>23</v>
      </c>
      <c r="B60" s="12">
        <f>0.65*'LA-Ref 0.5'!B17+0.35*B17</f>
        <v>0.15225</v>
      </c>
      <c r="C60" s="18">
        <f t="shared" si="10"/>
        <v>0.15226701802726839</v>
      </c>
      <c r="D60" s="18">
        <f>INDEX(MAC!$H$3:$H$16,MATCH($A60,MAC!$A$3:$A$16,0))</f>
        <v>197.69998688868492</v>
      </c>
      <c r="E60" s="18">
        <f t="shared" si="11"/>
        <v>0.30103187467570108</v>
      </c>
      <c r="F60" s="21"/>
      <c r="G60" s="55"/>
      <c r="H60" s="84" t="s">
        <v>90</v>
      </c>
      <c r="I60" s="84">
        <v>2105252</v>
      </c>
      <c r="J60" s="65">
        <v>3.6399999999999999E-6</v>
      </c>
      <c r="K60" s="73">
        <v>1.81</v>
      </c>
      <c r="L60" s="73">
        <v>1420.1320000000001</v>
      </c>
      <c r="M60" s="5">
        <f t="shared" si="12"/>
        <v>52.892383257708531</v>
      </c>
      <c r="N60" s="6">
        <f>100*J60*K60*(L60*0.00000001^3)^2*M60/INDEX('Reference-aQuartz'!$H$4:$H$17,MATCH($B$44,'Reference-aQuartz'!$A$4:$A$17,0))</f>
        <v>0.86345537952303175</v>
      </c>
      <c r="O60" s="32">
        <f t="shared" si="13"/>
        <v>1.7136268301303246</v>
      </c>
      <c r="P60" s="32">
        <f t="shared" si="9"/>
        <v>1.113857439584711</v>
      </c>
      <c r="Q60" s="69"/>
    </row>
    <row r="61" spans="1:22" x14ac:dyDescent="0.25">
      <c r="A61" s="1" t="s">
        <v>66</v>
      </c>
      <c r="B61" s="12">
        <f>0.65*'LA-Ref 0.5'!B18+0.35*B18</f>
        <v>3.8155000000000001</v>
      </c>
      <c r="C61" s="18">
        <f>B61</f>
        <v>3.8155000000000001</v>
      </c>
      <c r="D61" s="18">
        <f>INDEX(MAC!$H$3:$H$16,MATCH($A61,MAC!$A$3:$A$16,0))</f>
        <v>9.592279079279237</v>
      </c>
      <c r="E61" s="18">
        <f t="shared" si="11"/>
        <v>0.36599340826989929</v>
      </c>
      <c r="F61" s="21"/>
      <c r="G61" s="55"/>
      <c r="H61" s="84" t="s">
        <v>95</v>
      </c>
      <c r="I61" s="84"/>
      <c r="J61" s="65">
        <v>3.4699999999999998E-6</v>
      </c>
      <c r="K61" s="73">
        <v>2.86</v>
      </c>
      <c r="L61" s="73">
        <v>532.85379999999998</v>
      </c>
      <c r="M61" s="5">
        <f t="shared" si="12"/>
        <v>52.892383257708531</v>
      </c>
      <c r="N61" s="6">
        <f>100*J61*K61*(L61*0.00000001^3)^2*M61/INDEX('Reference-aQuartz'!$H$4:$H$17,MATCH($B$44,'Reference-aQuartz'!$A$4:$A$17,0))</f>
        <v>0.1831108828035474</v>
      </c>
      <c r="O61" s="32">
        <f t="shared" si="13"/>
        <v>0.3634046751024248</v>
      </c>
      <c r="P61" s="32">
        <f t="shared" si="9"/>
        <v>0.23621303881657615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84" t="s">
        <v>94</v>
      </c>
      <c r="I62" s="84">
        <v>66333</v>
      </c>
      <c r="J62" s="65">
        <v>1.7540000000000001E-5</v>
      </c>
      <c r="K62" s="73">
        <v>1.98</v>
      </c>
      <c r="L62" s="73">
        <v>322.42219999999998</v>
      </c>
      <c r="M62" s="5">
        <f t="shared" si="12"/>
        <v>52.892383257708531</v>
      </c>
      <c r="N62" s="6">
        <f>100*J62*K62*(L62*0.00000001^3)^2*M62/INDEX('Reference-aQuartz'!$H$4:$H$17,MATCH($B$44,'Reference-aQuartz'!$A$4:$A$17,0))</f>
        <v>0.2346103499320116</v>
      </c>
      <c r="O62" s="32">
        <f t="shared" si="13"/>
        <v>0.46561130986506921</v>
      </c>
      <c r="P62" s="32">
        <f t="shared" si="9"/>
        <v>0.30264735141229498</v>
      </c>
      <c r="Q62" s="88"/>
    </row>
    <row r="63" spans="1:22" x14ac:dyDescent="0.25">
      <c r="A63" s="73" t="s">
        <v>7</v>
      </c>
      <c r="B63" s="40">
        <f>SUM(B49:B60)</f>
        <v>96.173749999999984</v>
      </c>
      <c r="C63" s="40">
        <f>SUM(C49:C61)</f>
        <v>100</v>
      </c>
      <c r="D63" s="73" t="s">
        <v>29</v>
      </c>
      <c r="E63" s="56">
        <f>SUM(E49:E61)</f>
        <v>86.391748121369005</v>
      </c>
      <c r="F63" s="57">
        <f>E63*(1-C45)+D62*C45</f>
        <v>52.892383257708531</v>
      </c>
      <c r="H63" s="107" t="s">
        <v>7</v>
      </c>
      <c r="I63" s="108"/>
      <c r="J63" s="108"/>
      <c r="K63" s="108"/>
      <c r="L63" s="108"/>
      <c r="M63" s="109"/>
      <c r="N63" s="6">
        <f>SUM(N49:N62)</f>
        <v>18.891319206771357</v>
      </c>
      <c r="O63" s="32">
        <f>M63*(1+$E$45)</f>
        <v>0</v>
      </c>
      <c r="P63" s="32">
        <f>N63*(1+$E$45)</f>
        <v>24.369801776735052</v>
      </c>
    </row>
    <row r="64" spans="1:22" x14ac:dyDescent="0.25">
      <c r="H64" s="107" t="s">
        <v>28</v>
      </c>
      <c r="I64" s="108"/>
      <c r="J64" s="108"/>
      <c r="K64" s="108"/>
      <c r="L64" s="108"/>
      <c r="M64" s="109"/>
      <c r="N64" s="6">
        <f>100-N63</f>
        <v>81.108680793228643</v>
      </c>
      <c r="O64" s="31">
        <f>100-O63</f>
        <v>100</v>
      </c>
      <c r="P64" s="31">
        <f>100-P63</f>
        <v>75.630198223264955</v>
      </c>
    </row>
  </sheetData>
  <mergeCells count="14">
    <mergeCell ref="H63:M63"/>
    <mergeCell ref="H64:M64"/>
    <mergeCell ref="H41:M41"/>
    <mergeCell ref="H42:M42"/>
    <mergeCell ref="H18:M18"/>
    <mergeCell ref="H19:M19"/>
    <mergeCell ref="R27:R28"/>
    <mergeCell ref="S27:S28"/>
    <mergeCell ref="T27:T28"/>
    <mergeCell ref="U49:U50"/>
    <mergeCell ref="U27:U28"/>
    <mergeCell ref="R49:R50"/>
    <mergeCell ref="S49:S50"/>
    <mergeCell ref="T49:T50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5EC64-457D-4E65-9A29-F1F52CEB1AF9}">
  <sheetPr>
    <tabColor theme="9"/>
  </sheetPr>
  <dimension ref="A1:AV66"/>
  <sheetViews>
    <sheetView zoomScaleNormal="100" workbookViewId="0">
      <selection activeCell="O22" sqref="O22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21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42" t="s">
        <v>32</v>
      </c>
      <c r="B1" s="43">
        <v>44698</v>
      </c>
      <c r="H1" s="38" t="s">
        <v>20</v>
      </c>
      <c r="I1" s="38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>
        <v>3.95</v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25" t="s">
        <v>8</v>
      </c>
      <c r="B4" s="25" t="s">
        <v>30</v>
      </c>
      <c r="C4" s="25" t="s">
        <v>31</v>
      </c>
      <c r="D4" s="25" t="s">
        <v>68</v>
      </c>
      <c r="E4" s="25" t="s">
        <v>69</v>
      </c>
      <c r="H4" s="25" t="s">
        <v>9</v>
      </c>
      <c r="I4" s="25" t="s">
        <v>86</v>
      </c>
      <c r="J4" s="25" t="s">
        <v>2</v>
      </c>
      <c r="K4" s="25" t="s">
        <v>3</v>
      </c>
      <c r="L4" s="25" t="s">
        <v>4</v>
      </c>
      <c r="M4" s="25" t="s">
        <v>5</v>
      </c>
      <c r="N4" s="5" t="s">
        <v>15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25" t="s">
        <v>11</v>
      </c>
      <c r="B5" s="25" t="s">
        <v>93</v>
      </c>
      <c r="C5" s="25" t="s">
        <v>93</v>
      </c>
      <c r="D5" s="25" t="s">
        <v>13</v>
      </c>
      <c r="E5" s="25" t="s">
        <v>13</v>
      </c>
      <c r="H5" s="25" t="s">
        <v>11</v>
      </c>
      <c r="I5" s="25" t="s">
        <v>11</v>
      </c>
      <c r="J5" s="25" t="s">
        <v>11</v>
      </c>
      <c r="K5" s="25" t="s">
        <v>16</v>
      </c>
      <c r="L5" s="25" t="s">
        <v>19</v>
      </c>
      <c r="M5" s="25" t="s">
        <v>13</v>
      </c>
      <c r="N5" s="5" t="s">
        <v>12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56.8</v>
      </c>
      <c r="C6" s="18">
        <f t="shared" ref="C6:C17" si="0">B6*(100-B$18)/B$19</f>
        <v>57.222194304857595</v>
      </c>
      <c r="D6" s="18">
        <f>INDEX(MAC!$H$3:$H$16,MATCH('LA-SSA'!$A6,MAC!$A$3:$A$16,0))</f>
        <v>35.900659077291785</v>
      </c>
      <c r="E6" s="18">
        <f>C6*D6/100</f>
        <v>20.5431448939324</v>
      </c>
      <c r="F6" s="39"/>
      <c r="G6" s="39"/>
      <c r="H6" s="25" t="s">
        <v>21</v>
      </c>
      <c r="I6" s="25">
        <v>174</v>
      </c>
      <c r="J6" s="25">
        <v>4.8058600000000003E-3</v>
      </c>
      <c r="K6" s="25">
        <v>2.65</v>
      </c>
      <c r="L6" s="25">
        <v>113.00920000000001</v>
      </c>
      <c r="M6" s="5">
        <f t="shared" ref="M6:M11" si="1">$E$19</f>
        <v>74.542297829960134</v>
      </c>
      <c r="N6" s="6">
        <f>100*J6*K6*(L6*0.00000001^3)^2*M6/INDEX('Reference-aQuartz'!$H$4:$H$17,MATCH($B$1,'Reference-aQuartz'!$A$4:$A$17,0))</f>
        <v>21.144064669122802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8.4</v>
      </c>
      <c r="C7" s="18">
        <f t="shared" si="0"/>
        <v>8.4624371859296463</v>
      </c>
      <c r="D7" s="18">
        <f>INDEX(MAC!$H$3:$H$16,MATCH('LA-SSA'!$A7,MAC!$A$3:$A$16,0))</f>
        <v>31.664851266660783</v>
      </c>
      <c r="E7" s="18">
        <f t="shared" ref="E7:E10" si="2">C7*D7/100</f>
        <v>2.6796181484592165</v>
      </c>
      <c r="F7" s="39"/>
      <c r="G7" s="39"/>
      <c r="H7" s="25" t="s">
        <v>42</v>
      </c>
      <c r="I7" s="25">
        <v>201096</v>
      </c>
      <c r="J7" s="25">
        <v>2.4686E-4</v>
      </c>
      <c r="K7" s="25">
        <v>5.27</v>
      </c>
      <c r="L7" s="25">
        <v>302.13940000000002</v>
      </c>
      <c r="M7" s="5">
        <f t="shared" si="1"/>
        <v>74.542297829960134</v>
      </c>
      <c r="N7" s="6">
        <f>100*J7*K7*(L7*0.00000001^3)^2*M7/INDEX('Reference-aQuartz'!$H$4:$H$17,MATCH($B$1,'Reference-aQuartz'!$A$4:$A$17,0))</f>
        <v>15.439027933856323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19.57</v>
      </c>
      <c r="C8" s="18">
        <f t="shared" si="0"/>
        <v>19.715463777219426</v>
      </c>
      <c r="D8" s="18">
        <f>INDEX(MAC!$H$3:$H$16,MATCH('LA-SSA'!$A8,MAC!$A$3:$A$16,0))</f>
        <v>214.68463619455559</v>
      </c>
      <c r="E8" s="18">
        <f t="shared" si="2"/>
        <v>42.326071684192911</v>
      </c>
      <c r="F8" s="39"/>
      <c r="G8" s="39"/>
      <c r="H8" s="25" t="s">
        <v>33</v>
      </c>
      <c r="I8" s="25">
        <v>100495</v>
      </c>
      <c r="J8" s="25">
        <v>4.3072999999999999E-4</v>
      </c>
      <c r="K8" s="25">
        <v>2.54</v>
      </c>
      <c r="L8" s="25">
        <v>363.87689999999998</v>
      </c>
      <c r="M8" s="5">
        <f t="shared" si="1"/>
        <v>74.542297829960134</v>
      </c>
      <c r="N8" s="6">
        <f>100*J8*K8*(L8*0.00000001^3)^2*M8/INDEX('Reference-aQuartz'!$H$4:$H$17,MATCH($B$1,'Reference-aQuartz'!$A$4:$A$17,0))</f>
        <v>18.831794148247099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0.9</v>
      </c>
      <c r="C9" s="18">
        <f t="shared" si="0"/>
        <v>0.90668969849246195</v>
      </c>
      <c r="D9" s="18">
        <f>INDEX(MAC!$H$3:$H$16,MATCH('LA-SSA'!$A9,MAC!$A$3:$A$16,0))</f>
        <v>28.686693628423974</v>
      </c>
      <c r="E9" s="18">
        <f t="shared" si="2"/>
        <v>0.26009929596701364</v>
      </c>
      <c r="F9" s="39"/>
      <c r="G9" s="39"/>
      <c r="H9" s="25" t="s">
        <v>48</v>
      </c>
      <c r="I9" s="25">
        <v>86327</v>
      </c>
      <c r="J9" s="25">
        <f>0.00005165</f>
        <v>5.1650000000000002E-5</v>
      </c>
      <c r="K9" s="25">
        <v>2.69</v>
      </c>
      <c r="L9" s="25">
        <v>673.39350000000002</v>
      </c>
      <c r="M9" s="5">
        <f t="shared" si="1"/>
        <v>74.542297829960134</v>
      </c>
      <c r="N9" s="6">
        <f>100*J9*K9*(L9*0.00000001^3)^2*M9/INDEX('Reference-aQuartz'!$H$4:$H$17,MATCH($B$1,'Reference-aQuartz'!$A$4:$A$17,0))</f>
        <v>8.1903853255609658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1.4</v>
      </c>
      <c r="C10" s="18">
        <f t="shared" si="0"/>
        <v>1.4104061976549409</v>
      </c>
      <c r="D10" s="18">
        <f>INDEX(MAC!$H$3:$H$16,MATCH('LA-SSA'!$A10,MAC!$A$3:$A$16,0))</f>
        <v>124.77929454143408</v>
      </c>
      <c r="E10" s="18">
        <f t="shared" si="2"/>
        <v>1.7598949036024996</v>
      </c>
      <c r="F10" s="39"/>
      <c r="G10" s="39"/>
      <c r="H10" s="25" t="s">
        <v>26</v>
      </c>
      <c r="I10" s="25">
        <v>87660</v>
      </c>
      <c r="J10" s="25">
        <v>1.2243000000000001E-4</v>
      </c>
      <c r="K10" s="25">
        <v>2.59</v>
      </c>
      <c r="L10" s="25">
        <v>335.99489999999997</v>
      </c>
      <c r="M10" s="5">
        <f t="shared" si="1"/>
        <v>74.542297829960134</v>
      </c>
      <c r="N10" s="6">
        <f>100*J10*K10*(L10*0.00000001^3)^2*M10/INDEX('Reference-aQuartz'!$H$4:$H$17,MATCH($B$1,'Reference-aQuartz'!$A$4:$A$17,0))</f>
        <v>4.6536838133538856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2.4300000000000002</v>
      </c>
      <c r="C11" s="18">
        <f t="shared" si="0"/>
        <v>2.4480621859296474</v>
      </c>
      <c r="D11" s="18">
        <f>INDEX(MAC!$H$3:$H$16,MATCH('LA-SSA'!$A11,MAC!$A$3:$A$16,0))</f>
        <v>122.32505440840811</v>
      </c>
      <c r="E11" s="18">
        <f t="shared" ref="E11:E18" si="3">C11*D11/100</f>
        <v>2.9945934008901061</v>
      </c>
      <c r="F11" s="39"/>
      <c r="G11" s="39"/>
      <c r="H11" s="25" t="s">
        <v>49</v>
      </c>
      <c r="I11" s="25">
        <v>262932</v>
      </c>
      <c r="J11" s="25">
        <f>0.00001848</f>
        <v>1.8479999999999999E-5</v>
      </c>
      <c r="K11" s="25">
        <v>2.62</v>
      </c>
      <c r="L11" s="25">
        <v>463.92779999999999</v>
      </c>
      <c r="M11" s="5">
        <f t="shared" si="1"/>
        <v>74.542297829960134</v>
      </c>
      <c r="N11" s="6">
        <f>100*J11*K11*(L11*0.00000001^3)^2*M11/INDEX('Reference-aQuartz'!$H$4:$H$17,MATCH($B$1,'Reference-aQuartz'!$A$4:$A$17,0))</f>
        <v>1.354715006445097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0.38</v>
      </c>
      <c r="C12" s="18">
        <f t="shared" si="0"/>
        <v>0.38282453936348393</v>
      </c>
      <c r="D12" s="18">
        <f>INDEX(MAC!$H$3:$H$16,MATCH('LA-SSA'!$A12,MAC!$A$3:$A$16,0))</f>
        <v>44.261072668681777</v>
      </c>
      <c r="E12" s="18">
        <f t="shared" si="3"/>
        <v>0.16944224756121792</v>
      </c>
      <c r="F12" s="39"/>
      <c r="G12" s="39"/>
      <c r="H12" s="25"/>
      <c r="I12" s="25"/>
      <c r="J12" s="25"/>
      <c r="K12" s="25"/>
      <c r="L12" s="25"/>
      <c r="M12" s="5"/>
      <c r="N12" s="6">
        <f>100*J12*K12*(L12*0.00000001^3)^2*M12/INDEX('Reference-aQuartz'!$H$4:$H$17,MATCH($B$1,'Reference-aQuartz'!$A$4:$A$17,0))</f>
        <v>0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0.06</v>
      </c>
      <c r="C13" s="18">
        <f t="shared" si="0"/>
        <v>6.044597989949746E-2</v>
      </c>
      <c r="D13" s="18">
        <f>INDEX(MAC!$H$3:$H$16,MATCH('LA-SSA'!$A13,MAC!$A$3:$A$16,0))</f>
        <v>97.328178229861322</v>
      </c>
      <c r="E13" s="18">
        <f t="shared" si="3"/>
        <v>5.8830971049369039E-2</v>
      </c>
      <c r="F13" s="39"/>
      <c r="G13" s="39"/>
      <c r="H13" s="25"/>
      <c r="I13" s="25"/>
      <c r="J13" s="25"/>
      <c r="K13" s="25"/>
      <c r="L13" s="25"/>
      <c r="M13" s="5"/>
      <c r="N13" s="6">
        <f>100*J13*K13*(L13*0.00000001^3)^2*M13/INDEX('Reference-aQuartz'!$H$4:$H$17,MATCH($B$1,'Reference-aQuartz'!$A$4:$A$17,0))</f>
        <v>0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1.03</v>
      </c>
      <c r="C14" s="18">
        <f t="shared" si="0"/>
        <v>1.0376559882747065</v>
      </c>
      <c r="D14" s="18">
        <f>INDEX(MAC!$H$3:$H$16,MATCH('LA-SSA'!$A14,MAC!$A$3:$A$16,0))</f>
        <v>19.10926020222594</v>
      </c>
      <c r="E14" s="18">
        <f t="shared" si="3"/>
        <v>0.19828838280339275</v>
      </c>
      <c r="F14" s="39"/>
      <c r="G14" s="39"/>
      <c r="H14" s="25"/>
      <c r="I14" s="25"/>
      <c r="J14" s="25"/>
      <c r="K14" s="25"/>
      <c r="L14" s="25"/>
      <c r="M14" s="5"/>
      <c r="N14" s="6">
        <f>100*J14*K14*(L14*0.00000001^3)^2*M14/INDEX('Reference-aQuartz'!$H$4:$H$17,MATCH($B$1,'Reference-aQuartz'!$A$4:$A$17,0))</f>
        <v>0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1.54</v>
      </c>
      <c r="C15" s="18">
        <f t="shared" si="0"/>
        <v>1.5514468174204352</v>
      </c>
      <c r="D15" s="18">
        <f>INDEX(MAC!$H$3:$H$16,MATCH('LA-SSA'!$A15,MAC!$A$3:$A$16,0))</f>
        <v>124.47726788956365</v>
      </c>
      <c r="E15" s="18">
        <f t="shared" si="3"/>
        <v>1.9311986110845445</v>
      </c>
      <c r="F15" s="39"/>
      <c r="G15" s="39"/>
      <c r="H15" s="25"/>
      <c r="I15" s="25"/>
      <c r="J15" s="25"/>
      <c r="K15" s="25"/>
      <c r="L15" s="25"/>
      <c r="M15" s="5"/>
      <c r="N15" s="6">
        <f>100*J15*K15*(L15*0.00000001^3)^2*M15/INDEX('Reference-aQuartz'!$H$4:$H$17,MATCH($B$1,'Reference-aQuartz'!$A$4:$A$17,0))</f>
        <v>0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2.97</v>
      </c>
      <c r="C16" s="18">
        <f t="shared" si="0"/>
        <v>2.9920760050251247</v>
      </c>
      <c r="D16" s="18">
        <f>INDEX(MAC!$H$3:$H$16,MATCH('LA-SSA'!$A16,MAC!$A$3:$A$16,0))</f>
        <v>39.431437267071992</v>
      </c>
      <c r="E16" s="18">
        <f t="shared" si="3"/>
        <v>1.1798185729045958</v>
      </c>
      <c r="F16" s="39"/>
      <c r="G16" s="39"/>
      <c r="H16" s="25"/>
      <c r="I16" s="25"/>
      <c r="J16" s="25"/>
      <c r="K16" s="25"/>
      <c r="L16" s="25"/>
      <c r="M16" s="5"/>
      <c r="N16" s="6">
        <f>100*J16*K16*(L16*0.00000001^3)^2*M16/INDEX('Reference-aQuartz'!$H$4:$H$17,MATCH($B$1,'Reference-aQuartz'!$A$4:$A$17,0))</f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0.04</v>
      </c>
      <c r="C17" s="18">
        <f t="shared" si="0"/>
        <v>4.0297319932998309E-2</v>
      </c>
      <c r="D17" s="18">
        <f>INDEX(MAC!$H$3:$H$16,MATCH('LA-SSA'!$A17,MAC!$A$3:$A$16,0))</f>
        <v>197.69998688868492</v>
      </c>
      <c r="E17" s="18">
        <f t="shared" si="3"/>
        <v>7.9667796224029072E-2</v>
      </c>
      <c r="H17" s="21"/>
      <c r="I17" s="21"/>
      <c r="J17" s="21"/>
      <c r="K17" s="21"/>
      <c r="L17" s="21"/>
      <c r="M17" s="5"/>
      <c r="N17" s="37">
        <f>100*J17*K17*(L17*0.00000001^3)^2*M17/INDEX('Reference-aQuartz'!$H$4:$H$17,MATCH($B$1,'Reference-aQuartz'!$A$4:$A$17,0))</f>
        <v>0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3.77</v>
      </c>
      <c r="C18" s="18">
        <f>B18</f>
        <v>3.77</v>
      </c>
      <c r="D18" s="18">
        <f>INDEX(MAC!$H$3:$H$16,MATCH('LA-SSA'!$A18,MAC!$A$3:$A$16,0))</f>
        <v>9.592279079279237</v>
      </c>
      <c r="E18" s="18">
        <f t="shared" si="3"/>
        <v>0.36162892128882723</v>
      </c>
      <c r="H18" s="104" t="s">
        <v>7</v>
      </c>
      <c r="I18" s="105"/>
      <c r="J18" s="105"/>
      <c r="K18" s="105"/>
      <c r="L18" s="105"/>
      <c r="M18" s="106"/>
      <c r="N18" s="37">
        <f>SUM(N6:N17)</f>
        <v>69.613670896586157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25" t="s">
        <v>7</v>
      </c>
      <c r="B19" s="40">
        <f>SUM(B6:B17)</f>
        <v>95.520000000000039</v>
      </c>
      <c r="C19" s="40">
        <f>SUM(C6:C18)</f>
        <v>99.999999999999957</v>
      </c>
      <c r="D19" s="25" t="s">
        <v>29</v>
      </c>
      <c r="E19" s="41">
        <f>SUM(E6:E18)</f>
        <v>74.542297829960134</v>
      </c>
      <c r="H19" s="107" t="s">
        <v>100</v>
      </c>
      <c r="I19" s="108"/>
      <c r="J19" s="108"/>
      <c r="K19" s="108"/>
      <c r="L19" s="108"/>
      <c r="M19" s="109"/>
      <c r="N19" s="37">
        <f>100-N18</f>
        <v>30.386329103413843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44736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0.36</v>
      </c>
      <c r="D23" s="52"/>
      <c r="E23" s="52">
        <v>0.23</v>
      </c>
      <c r="F23" s="53"/>
    </row>
    <row r="24" spans="1:48" x14ac:dyDescent="0.25">
      <c r="H24" s="46" t="s">
        <v>6</v>
      </c>
      <c r="I24" s="28">
        <v>3.43</v>
      </c>
      <c r="J24" s="33"/>
    </row>
    <row r="25" spans="1:48" x14ac:dyDescent="0.25">
      <c r="A25" s="25" t="s">
        <v>8</v>
      </c>
      <c r="B25" s="25" t="s">
        <v>30</v>
      </c>
      <c r="C25" s="25" t="s">
        <v>31</v>
      </c>
      <c r="D25" s="25" t="s">
        <v>68</v>
      </c>
      <c r="E25" s="25" t="s">
        <v>69</v>
      </c>
      <c r="F25" s="25" t="s">
        <v>74</v>
      </c>
      <c r="G25" s="54"/>
      <c r="H25" s="25" t="s">
        <v>9</v>
      </c>
      <c r="I25" s="25" t="s">
        <v>86</v>
      </c>
      <c r="J25" s="25" t="s">
        <v>2</v>
      </c>
      <c r="K25" s="25" t="s">
        <v>3</v>
      </c>
      <c r="L25" s="25" t="s">
        <v>4</v>
      </c>
      <c r="M25" s="25" t="s">
        <v>5</v>
      </c>
      <c r="N25" s="5" t="s">
        <v>15</v>
      </c>
      <c r="O25" s="5" t="s">
        <v>15</v>
      </c>
      <c r="P25" s="5" t="s">
        <v>15</v>
      </c>
      <c r="Q25" s="88" t="s">
        <v>96</v>
      </c>
      <c r="R25" s="89"/>
      <c r="S25" s="88" t="s">
        <v>122</v>
      </c>
      <c r="T25" s="88" t="s">
        <v>123</v>
      </c>
      <c r="U25" s="88" t="s">
        <v>82</v>
      </c>
      <c r="V25" s="36" t="s">
        <v>83</v>
      </c>
    </row>
    <row r="26" spans="1:48" x14ac:dyDescent="0.25">
      <c r="A26" s="25" t="s">
        <v>11</v>
      </c>
      <c r="B26" s="25" t="s">
        <v>93</v>
      </c>
      <c r="C26" s="25" t="s">
        <v>93</v>
      </c>
      <c r="D26" s="25" t="s">
        <v>13</v>
      </c>
      <c r="E26" s="25" t="s">
        <v>13</v>
      </c>
      <c r="F26" s="25" t="s">
        <v>13</v>
      </c>
      <c r="G26" s="54"/>
      <c r="H26" s="25" t="s">
        <v>11</v>
      </c>
      <c r="I26" s="25" t="s">
        <v>11</v>
      </c>
      <c r="J26" s="25" t="s">
        <v>11</v>
      </c>
      <c r="K26" s="25" t="s">
        <v>16</v>
      </c>
      <c r="L26" s="25" t="s">
        <v>19</v>
      </c>
      <c r="M26" s="25" t="s">
        <v>13</v>
      </c>
      <c r="N26" s="5" t="s">
        <v>75</v>
      </c>
      <c r="O26" s="88" t="s">
        <v>113</v>
      </c>
      <c r="P26" s="68" t="s">
        <v>76</v>
      </c>
      <c r="Q26" s="88" t="s">
        <v>76</v>
      </c>
      <c r="R26" s="89"/>
      <c r="S26" s="88" t="s">
        <v>76</v>
      </c>
      <c r="T26" s="88" t="s">
        <v>76</v>
      </c>
      <c r="U26" s="88" t="s">
        <v>11</v>
      </c>
      <c r="V26" s="36" t="s">
        <v>11</v>
      </c>
    </row>
    <row r="27" spans="1:48" x14ac:dyDescent="0.25">
      <c r="A27" s="1" t="s">
        <v>53</v>
      </c>
      <c r="B27" s="12">
        <f>0.65*'LA-Ref 0.5'!B6+0.35*B6</f>
        <v>32.36</v>
      </c>
      <c r="C27" s="18">
        <f>B27*(100-B$39)/B$41</f>
        <v>32.411758014719027</v>
      </c>
      <c r="D27" s="18">
        <f>INDEX(MAC!$H$3:$H$16,MATCH($A27,MAC!$A$3:$A$16,0))</f>
        <v>35.900659077291785</v>
      </c>
      <c r="E27" s="18">
        <f>C27*D27/100</f>
        <v>11.636034745821073</v>
      </c>
      <c r="F27" s="21"/>
      <c r="G27" s="55"/>
      <c r="H27" s="85" t="s">
        <v>34</v>
      </c>
      <c r="I27" s="85"/>
      <c r="J27" s="65">
        <v>5.0999999999999999E-7</v>
      </c>
      <c r="K27" s="67">
        <f>'LA-Ref 0.5'!K6</f>
        <v>3.15</v>
      </c>
      <c r="L27" s="81">
        <f>'LA-Ref 0.5'!L6</f>
        <v>2166.0790000000002</v>
      </c>
      <c r="M27" s="5">
        <f>$F$41</f>
        <v>61.366598920974369</v>
      </c>
      <c r="N27" s="6">
        <f>100*J27*K27*(L27*0.00000001^3)^2*M27/INDEX('Reference-aQuartz'!$H$4:$H$17,MATCH($B$22,'Reference-aQuartz'!$A$4:$A$17,0))</f>
        <v>0.54820504205233922</v>
      </c>
      <c r="O27" s="32">
        <f>P27*100/65</f>
        <v>1.0373726180375034</v>
      </c>
      <c r="P27" s="32">
        <f t="shared" ref="P27:P42" si="4">N27*(1+$E$23)</f>
        <v>0.6742922017243772</v>
      </c>
      <c r="Q27" s="69"/>
      <c r="R27" s="110" t="s">
        <v>79</v>
      </c>
      <c r="S27" s="100">
        <f>('LA-Ref 0.5'!P6+'LA-Ref 0.5'!P7)*0.65</f>
        <v>42.364846282241693</v>
      </c>
      <c r="T27" s="100">
        <f>P27+P28</f>
        <v>0.6742922017243772</v>
      </c>
      <c r="U27" s="102">
        <f>(S27-T27)/S27</f>
        <v>0.98408368586464046</v>
      </c>
      <c r="V27" s="30">
        <f>(U27*S27+U29*S29+U30*S30+U31*S31)/S32</f>
        <v>0.9402514927470994</v>
      </c>
    </row>
    <row r="28" spans="1:48" x14ac:dyDescent="0.25">
      <c r="A28" s="1" t="s">
        <v>54</v>
      </c>
      <c r="B28" s="12">
        <f>0.65*'LA-Ref 0.5'!B7+0.35*B7</f>
        <v>6.32</v>
      </c>
      <c r="C28" s="18">
        <f t="shared" ref="C28:C38" si="5">B28*(100-B$39)/B$41</f>
        <v>6.3301084874234936</v>
      </c>
      <c r="D28" s="18">
        <f>INDEX(MAC!$H$3:$H$16,MATCH($A28,MAC!$A$3:$A$16,0))</f>
        <v>31.664851266660783</v>
      </c>
      <c r="E28" s="18">
        <f t="shared" ref="E28:E39" si="6">C28*D28/100</f>
        <v>2.0044194375609199</v>
      </c>
      <c r="F28" s="21"/>
      <c r="G28" s="55"/>
      <c r="H28" s="85" t="s">
        <v>35</v>
      </c>
      <c r="I28" s="85">
        <v>94742</v>
      </c>
      <c r="J28" s="72">
        <v>0</v>
      </c>
      <c r="K28" s="81">
        <f>'LA-Ref 0.5'!K7</f>
        <v>3.16</v>
      </c>
      <c r="L28" s="81">
        <f>'LA-Ref 0.5'!L7</f>
        <v>4316.1279999999997</v>
      </c>
      <c r="M28" s="5">
        <f t="shared" ref="M28:M42" si="7">$F$41</f>
        <v>61.366598920974369</v>
      </c>
      <c r="N28" s="6">
        <f>100*J28*K28*(L28*0.00000001^3)^2*M28/INDEX('Reference-aQuartz'!$H$4:$H$17,MATCH($B$22,'Reference-aQuartz'!$A$4:$A$17,0))</f>
        <v>0</v>
      </c>
      <c r="O28" s="32">
        <f t="shared" ref="O28:O42" si="8">P28*100/65</f>
        <v>0</v>
      </c>
      <c r="P28" s="32">
        <f t="shared" si="4"/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0.5'!B8+0.35*B8</f>
        <v>9.2349999999999994</v>
      </c>
      <c r="C29" s="18">
        <f t="shared" si="5"/>
        <v>9.2497708673031571</v>
      </c>
      <c r="D29" s="18">
        <f>INDEX(MAC!$H$3:$H$16,MATCH($A29,MAC!$A$3:$A$16,0))</f>
        <v>214.68463619455559</v>
      </c>
      <c r="E29" s="18">
        <f t="shared" si="6"/>
        <v>19.857836935299773</v>
      </c>
      <c r="F29" s="21"/>
      <c r="G29" s="55"/>
      <c r="H29" s="85" t="s">
        <v>36</v>
      </c>
      <c r="I29" s="85">
        <v>81096</v>
      </c>
      <c r="J29" s="65">
        <v>7.9239999999999993E-5</v>
      </c>
      <c r="K29" s="81">
        <f>'LA-Ref 0.5'!K8</f>
        <v>3.29</v>
      </c>
      <c r="L29" s="81">
        <f>'LA-Ref 0.5'!L8</f>
        <v>347.22930000000002</v>
      </c>
      <c r="M29" s="5">
        <f t="shared" si="7"/>
        <v>61.366598920974369</v>
      </c>
      <c r="N29" s="6">
        <f>100*J29*K29*(L29*0.00000001^3)^2*M29/INDEX('Reference-aQuartz'!$H$4:$H$17,MATCH($B$22,'Reference-aQuartz'!$A$4:$A$17,0))</f>
        <v>2.2860556920135675</v>
      </c>
      <c r="O29" s="32">
        <f t="shared" si="8"/>
        <v>4.3259207710410585</v>
      </c>
      <c r="P29" s="32">
        <f t="shared" si="4"/>
        <v>2.8118485011766881</v>
      </c>
      <c r="Q29" s="69"/>
      <c r="R29" s="89" t="s">
        <v>80</v>
      </c>
      <c r="S29" s="69">
        <f>'LA-Ref 0.5'!P8*0.65</f>
        <v>6.6266164042793037</v>
      </c>
      <c r="T29" s="69">
        <f>P29</f>
        <v>2.8118485011766881</v>
      </c>
      <c r="U29" s="34">
        <f>(S29-T29)/S29</f>
        <v>0.57567356707702799</v>
      </c>
    </row>
    <row r="30" spans="1:48" x14ac:dyDescent="0.25">
      <c r="A30" s="1" t="s">
        <v>0</v>
      </c>
      <c r="B30" s="12">
        <f>0.65*'LA-Ref 0.5'!B9+0.35*B9</f>
        <v>0.96500000000000008</v>
      </c>
      <c r="C30" s="18">
        <f t="shared" si="5"/>
        <v>0.96654346366513799</v>
      </c>
      <c r="D30" s="18">
        <f>INDEX(MAC!$H$3:$H$16,MATCH($A30,MAC!$A$3:$A$16,0))</f>
        <v>28.686693628423974</v>
      </c>
      <c r="E30" s="18">
        <f t="shared" si="6"/>
        <v>0.27726936220717557</v>
      </c>
      <c r="F30" s="21"/>
      <c r="G30" s="55"/>
      <c r="H30" s="85" t="s">
        <v>37</v>
      </c>
      <c r="I30" s="85">
        <v>1841</v>
      </c>
      <c r="J30" s="72">
        <v>0</v>
      </c>
      <c r="K30" s="81">
        <f>'LA-Ref 0.5'!K9</f>
        <v>3.04</v>
      </c>
      <c r="L30" s="81">
        <f>'LA-Ref 0.5'!L9</f>
        <v>3541.5859999999998</v>
      </c>
      <c r="M30" s="5">
        <f t="shared" si="7"/>
        <v>61.366598920974369</v>
      </c>
      <c r="N30" s="6">
        <f>100*J30*K30*(L30*0.00000001^3)^2*M30/INDEX('Reference-aQuartz'!$H$4:$H$17,MATCH($B$22,'Reference-aQuartz'!$A$4:$A$17,0))</f>
        <v>0</v>
      </c>
      <c r="O30" s="32">
        <f t="shared" si="8"/>
        <v>0</v>
      </c>
      <c r="P30" s="32">
        <f t="shared" si="4"/>
        <v>0</v>
      </c>
      <c r="Q30" s="69"/>
      <c r="R30" s="89" t="s">
        <v>37</v>
      </c>
      <c r="S30" s="69">
        <f>'LA-Ref 0.5'!P9*0.65</f>
        <v>2.3605659551948133</v>
      </c>
      <c r="T30" s="69">
        <f>P30</f>
        <v>0</v>
      </c>
      <c r="U30" s="34">
        <f t="shared" ref="U30:U31" si="9">(S30-T30)/S30</f>
        <v>1</v>
      </c>
    </row>
    <row r="31" spans="1:48" x14ac:dyDescent="0.25">
      <c r="A31" s="1" t="s">
        <v>1</v>
      </c>
      <c r="B31" s="12">
        <f>0.65*'LA-Ref 0.5'!B10+0.35*B10</f>
        <v>41.7</v>
      </c>
      <c r="C31" s="18">
        <f t="shared" si="5"/>
        <v>41.766696823664503</v>
      </c>
      <c r="D31" s="18">
        <f>INDEX(MAC!$H$3:$H$16,MATCH($A31,MAC!$A$3:$A$16,0))</f>
        <v>124.77929454143408</v>
      </c>
      <c r="E31" s="18">
        <f t="shared" si="6"/>
        <v>52.116189649828122</v>
      </c>
      <c r="F31" s="21"/>
      <c r="G31" s="55"/>
      <c r="H31" s="85" t="s">
        <v>38</v>
      </c>
      <c r="I31" s="85">
        <v>98836</v>
      </c>
      <c r="J31" s="72">
        <v>0</v>
      </c>
      <c r="K31" s="81">
        <f>'LA-Ref 0.5'!K10</f>
        <v>3.75</v>
      </c>
      <c r="L31" s="81">
        <f>'LA-Ref 0.5'!L10</f>
        <v>430.91660000000002</v>
      </c>
      <c r="M31" s="5">
        <f t="shared" si="7"/>
        <v>61.366598920974369</v>
      </c>
      <c r="N31" s="6">
        <f>100*J31*K31*(L31*0.00000001^3)^2*M31/INDEX('Reference-aQuartz'!$H$4:$H$17,MATCH($B$22,'Reference-aQuartz'!$A$4:$A$17,0))</f>
        <v>0</v>
      </c>
      <c r="O31" s="32">
        <f t="shared" si="8"/>
        <v>0</v>
      </c>
      <c r="P31" s="32">
        <f t="shared" si="4"/>
        <v>0</v>
      </c>
      <c r="Q31" s="69"/>
      <c r="R31" s="89" t="s">
        <v>81</v>
      </c>
      <c r="S31" s="69">
        <f>'LA-Ref 0.5'!P10*0.65</f>
        <v>6.9948801462326609</v>
      </c>
      <c r="T31" s="69">
        <f>P31</f>
        <v>0</v>
      </c>
      <c r="U31" s="34">
        <f t="shared" si="9"/>
        <v>1</v>
      </c>
    </row>
    <row r="32" spans="1:48" x14ac:dyDescent="0.25">
      <c r="A32" s="1" t="s">
        <v>56</v>
      </c>
      <c r="B32" s="12">
        <f>0.65*'LA-Ref 0.5'!B11+0.35*B11</f>
        <v>1.0975000000000001</v>
      </c>
      <c r="C32" s="18">
        <f t="shared" si="5"/>
        <v>1.0992553900233044</v>
      </c>
      <c r="D32" s="18">
        <f>INDEX(MAC!$H$3:$H$16,MATCH($A32,MAC!$A$3:$A$16,0))</f>
        <v>122.32505440840811</v>
      </c>
      <c r="E32" s="18">
        <f t="shared" si="6"/>
        <v>1.344664753933366</v>
      </c>
      <c r="F32" s="21"/>
      <c r="G32" s="55"/>
      <c r="H32" s="85" t="s">
        <v>40</v>
      </c>
      <c r="I32" s="85">
        <v>202220</v>
      </c>
      <c r="J32" s="72">
        <v>9.5672099999999996E-3</v>
      </c>
      <c r="K32" s="25">
        <v>2.2400000000000002</v>
      </c>
      <c r="L32" s="25">
        <v>54.868929999999999</v>
      </c>
      <c r="M32" s="5">
        <f t="shared" si="7"/>
        <v>61.366598920974369</v>
      </c>
      <c r="N32" s="6">
        <f>100*J32*K32*(L32*0.00000001^3)^2*M32/INDEX('Reference-aQuartz'!$H$4:$H$17,MATCH($B$22,'Reference-aQuartz'!$A$4:$A$17,0))</f>
        <v>4.6924539489316732</v>
      </c>
      <c r="O32" s="32">
        <f t="shared" si="8"/>
        <v>8.8795667033630128</v>
      </c>
      <c r="P32" s="32">
        <f t="shared" si="4"/>
        <v>5.771718357185958</v>
      </c>
      <c r="Q32" s="69">
        <v>6.7</v>
      </c>
      <c r="R32" s="89" t="s">
        <v>84</v>
      </c>
      <c r="S32" s="69">
        <f>SUM(S27:S31)</f>
        <v>58.346908787948472</v>
      </c>
      <c r="T32" s="69">
        <f>SUM(T27:T31)</f>
        <v>3.4861407029010651</v>
      </c>
    </row>
    <row r="33" spans="1:22" x14ac:dyDescent="0.25">
      <c r="A33" s="1" t="s">
        <v>57</v>
      </c>
      <c r="B33" s="12">
        <f>0.65*'LA-Ref 0.5'!B12+0.35*B12</f>
        <v>2.1740000000000004</v>
      </c>
      <c r="C33" s="18">
        <f t="shared" si="5"/>
        <v>2.177477191718145</v>
      </c>
      <c r="D33" s="18">
        <f>INDEX(MAC!$H$3:$H$16,MATCH($A33,MAC!$A$3:$A$16,0))</f>
        <v>44.261072668681777</v>
      </c>
      <c r="E33" s="18">
        <f t="shared" si="6"/>
        <v>0.96377476217033942</v>
      </c>
      <c r="F33" s="21"/>
      <c r="G33" s="55"/>
      <c r="H33" s="85" t="s">
        <v>25</v>
      </c>
      <c r="I33" s="85">
        <v>73446</v>
      </c>
      <c r="J33" s="65">
        <v>2.4110000000000001E-5</v>
      </c>
      <c r="K33" s="67">
        <v>2.72</v>
      </c>
      <c r="L33" s="67">
        <v>373.62329999999997</v>
      </c>
      <c r="M33" s="5">
        <f t="shared" si="7"/>
        <v>61.366598920974369</v>
      </c>
      <c r="N33" s="6">
        <f>100*J33*K33*(L33*0.00000001^3)^2*M33/INDEX('Reference-aQuartz'!$H$4:$H$17,MATCH($B$22,'Reference-aQuartz'!$A$4:$A$17,0))</f>
        <v>0.66580603944730832</v>
      </c>
      <c r="O33" s="32">
        <f t="shared" si="8"/>
        <v>1.2599098900310606</v>
      </c>
      <c r="P33" s="32">
        <f t="shared" si="4"/>
        <v>0.81894142852018925</v>
      </c>
      <c r="Q33" s="69">
        <v>1.3</v>
      </c>
    </row>
    <row r="34" spans="1:22" x14ac:dyDescent="0.25">
      <c r="A34" s="1" t="s">
        <v>14</v>
      </c>
      <c r="B34" s="12">
        <f>0.65*'LA-Ref 0.5'!B13+0.35*B13</f>
        <v>0.10550000000000001</v>
      </c>
      <c r="C34" s="18">
        <f t="shared" si="5"/>
        <v>0.10566874136442701</v>
      </c>
      <c r="D34" s="18">
        <f>INDEX(MAC!$H$3:$H$16,MATCH($A34,MAC!$A$3:$A$16,0))</f>
        <v>97.328178229861322</v>
      </c>
      <c r="E34" s="18">
        <f t="shared" si="6"/>
        <v>0.10284546092842073</v>
      </c>
      <c r="F34" s="21"/>
      <c r="G34" s="55"/>
      <c r="H34" s="85" t="s">
        <v>21</v>
      </c>
      <c r="I34" s="85">
        <v>174</v>
      </c>
      <c r="J34" s="72">
        <v>2.0567599999999999E-3</v>
      </c>
      <c r="K34" s="67">
        <v>2.65</v>
      </c>
      <c r="L34" s="67">
        <v>112.9098</v>
      </c>
      <c r="M34" s="5">
        <f t="shared" si="7"/>
        <v>61.366598920974369</v>
      </c>
      <c r="N34" s="6">
        <f>100*J34*K34*(L34*0.00000001^3)^2*M34/INDEX('Reference-aQuartz'!$H$4:$H$17,MATCH($B$22,'Reference-aQuartz'!$A$4:$A$17,0))</f>
        <v>5.0536653466825223</v>
      </c>
      <c r="O34" s="32">
        <f t="shared" si="8"/>
        <v>9.563089809876157</v>
      </c>
      <c r="P34" s="32">
        <f t="shared" si="4"/>
        <v>6.2160083764195022</v>
      </c>
      <c r="Q34" s="69"/>
    </row>
    <row r="35" spans="1:22" x14ac:dyDescent="0.25">
      <c r="A35" s="1" t="s">
        <v>58</v>
      </c>
      <c r="B35" s="12">
        <f>0.65*'LA-Ref 0.5'!B14+0.35*B14</f>
        <v>0.57499999999999996</v>
      </c>
      <c r="C35" s="18">
        <f t="shared" si="5"/>
        <v>0.57591968042223241</v>
      </c>
      <c r="D35" s="18">
        <f>INDEX(MAC!$H$3:$H$16,MATCH($A35,MAC!$A$3:$A$16,0))</f>
        <v>19.10926020222594</v>
      </c>
      <c r="E35" s="18">
        <f t="shared" si="6"/>
        <v>0.11005399028771247</v>
      </c>
      <c r="F35" s="21"/>
      <c r="G35" s="55"/>
      <c r="H35" s="85" t="s">
        <v>87</v>
      </c>
      <c r="I35" s="85">
        <v>155395</v>
      </c>
      <c r="J35" s="65">
        <v>5.4999999999999999E-6</v>
      </c>
      <c r="K35" s="67">
        <v>1.79</v>
      </c>
      <c r="L35" s="67">
        <v>2335.9479999999999</v>
      </c>
      <c r="M35" s="5">
        <f t="shared" si="7"/>
        <v>61.366598920974369</v>
      </c>
      <c r="N35" s="6">
        <f>100*J35*K35*(L35*0.00000001^3)^2*M35/INDEX('Reference-aQuartz'!$H$4:$H$17,MATCH($B$22,'Reference-aQuartz'!$A$4:$A$17,0))</f>
        <v>3.9071112194043938</v>
      </c>
      <c r="O35" s="32">
        <f t="shared" si="8"/>
        <v>7.3934566151806216</v>
      </c>
      <c r="P35" s="32">
        <f t="shared" si="4"/>
        <v>4.8057467998674044</v>
      </c>
      <c r="Q35" s="69"/>
    </row>
    <row r="36" spans="1:22" x14ac:dyDescent="0.25">
      <c r="A36" s="1" t="s">
        <v>59</v>
      </c>
      <c r="B36" s="12">
        <f>0.65*'LA-Ref 0.5'!B15+0.35*B15</f>
        <v>0.66249999999999998</v>
      </c>
      <c r="C36" s="18">
        <f t="shared" si="5"/>
        <v>0.66355963179083288</v>
      </c>
      <c r="D36" s="18">
        <f>INDEX(MAC!$H$3:$H$16,MATCH($A36,MAC!$A$3:$A$16,0))</f>
        <v>124.47726788956365</v>
      </c>
      <c r="E36" s="18">
        <f t="shared" si="6"/>
        <v>0.82598090047127726</v>
      </c>
      <c r="F36" s="21"/>
      <c r="G36" s="55"/>
      <c r="H36" s="85" t="s">
        <v>88</v>
      </c>
      <c r="I36" s="85">
        <v>81963</v>
      </c>
      <c r="J36" s="82">
        <v>0</v>
      </c>
      <c r="K36" s="85">
        <v>2.16</v>
      </c>
      <c r="L36" s="85">
        <v>182.05549999999999</v>
      </c>
      <c r="M36" s="5">
        <f t="shared" si="7"/>
        <v>61.366598920974369</v>
      </c>
      <c r="N36" s="6">
        <f>100*J36*K36*(L36*0.00000001^3)^2*M36/INDEX('Reference-aQuartz'!$H$4:$H$17,MATCH($B$22,'Reference-aQuartz'!$A$4:$A$17,0))</f>
        <v>0</v>
      </c>
      <c r="O36" s="32">
        <f t="shared" si="8"/>
        <v>0</v>
      </c>
      <c r="P36" s="32">
        <f t="shared" si="4"/>
        <v>0</v>
      </c>
      <c r="Q36" s="69"/>
    </row>
    <row r="37" spans="1:22" x14ac:dyDescent="0.25">
      <c r="A37" s="1" t="s">
        <v>60</v>
      </c>
      <c r="B37" s="12">
        <f>0.65*'LA-Ref 0.5'!B16+0.35*B16</f>
        <v>1.2085000000000001</v>
      </c>
      <c r="C37" s="18">
        <f t="shared" si="5"/>
        <v>1.2104329283309008</v>
      </c>
      <c r="D37" s="18">
        <f>INDEX(MAC!$H$3:$H$16,MATCH($A37,MAC!$A$3:$A$16,0))</f>
        <v>39.431437267071992</v>
      </c>
      <c r="E37" s="18">
        <f t="shared" si="6"/>
        <v>0.4772911007947816</v>
      </c>
      <c r="F37" s="21"/>
      <c r="G37" s="55"/>
      <c r="H37" s="85" t="s">
        <v>89</v>
      </c>
      <c r="I37" s="85">
        <v>59327</v>
      </c>
      <c r="J37" s="65">
        <v>1.6699999999999999E-5</v>
      </c>
      <c r="K37" s="85">
        <v>2.15</v>
      </c>
      <c r="L37" s="85">
        <v>438.15629999999999</v>
      </c>
      <c r="M37" s="5">
        <f t="shared" si="7"/>
        <v>61.366598920974369</v>
      </c>
      <c r="N37" s="6">
        <f>100*J37*K37*(L37*0.00000001^3)^2*M37/INDEX('Reference-aQuartz'!$H$4:$H$17,MATCH($B$22,'Reference-aQuartz'!$A$4:$A$17,0))</f>
        <v>0.50133354399387242</v>
      </c>
      <c r="O37" s="32">
        <f t="shared" si="8"/>
        <v>0.94867732171148178</v>
      </c>
      <c r="P37" s="32">
        <f t="shared" si="4"/>
        <v>0.61664025911246312</v>
      </c>
      <c r="Q37" s="69"/>
    </row>
    <row r="38" spans="1:22" x14ac:dyDescent="0.25">
      <c r="A38" s="19" t="s">
        <v>23</v>
      </c>
      <c r="B38" s="12">
        <f>0.65*'LA-Ref 0.5'!B17+0.35*B17</f>
        <v>3.6750000000000005E-2</v>
      </c>
      <c r="C38" s="18">
        <f t="shared" si="5"/>
        <v>3.6808779574812253E-2</v>
      </c>
      <c r="D38" s="18">
        <f>INDEX(MAC!$H$3:$H$16,MATCH($A38,MAC!$A$3:$A$16,0))</f>
        <v>197.69998688868492</v>
      </c>
      <c r="E38" s="18">
        <f t="shared" si="6"/>
        <v>7.2770952393288763E-2</v>
      </c>
      <c r="F38" s="21"/>
      <c r="G38" s="55"/>
      <c r="H38" s="85" t="s">
        <v>90</v>
      </c>
      <c r="I38" s="85">
        <v>2105252</v>
      </c>
      <c r="J38" s="65">
        <v>3.6500000000000002E-6</v>
      </c>
      <c r="K38" s="85">
        <v>2.65</v>
      </c>
      <c r="L38" s="85">
        <v>1418.5340000000001</v>
      </c>
      <c r="M38" s="5">
        <f t="shared" si="7"/>
        <v>61.366598920974369</v>
      </c>
      <c r="N38" s="6">
        <f>100*J38*K38*(L38*0.00000001^3)^2*M38/INDEX('Reference-aQuartz'!$H$4:$H$17,MATCH($B$22,'Reference-aQuartz'!$A$4:$A$17,0))</f>
        <v>1.415571953582704</v>
      </c>
      <c r="O38" s="32">
        <f t="shared" si="8"/>
        <v>2.6786976967795786</v>
      </c>
      <c r="P38" s="32">
        <f t="shared" si="4"/>
        <v>1.741153502906726</v>
      </c>
      <c r="Q38" s="69"/>
    </row>
    <row r="39" spans="1:22" x14ac:dyDescent="0.25">
      <c r="A39" s="1" t="s">
        <v>66</v>
      </c>
      <c r="B39" s="12">
        <f>0.65*'LA-Ref 0.5'!B18+0.35*B18</f>
        <v>3.4059999999999997</v>
      </c>
      <c r="C39" s="18">
        <f>B39</f>
        <v>3.4059999999999997</v>
      </c>
      <c r="D39" s="18">
        <f>INDEX(MAC!$H$3:$H$16,MATCH($A39,MAC!$A$3:$A$16,0))</f>
        <v>9.592279079279237</v>
      </c>
      <c r="E39" s="18">
        <f t="shared" si="6"/>
        <v>0.32671302544025077</v>
      </c>
      <c r="F39" s="21"/>
      <c r="G39" s="55"/>
      <c r="H39" s="85" t="s">
        <v>42</v>
      </c>
      <c r="I39" s="85">
        <v>201096</v>
      </c>
      <c r="J39" s="65">
        <v>9.3900000000000006E-5</v>
      </c>
      <c r="K39" s="67">
        <v>5.27</v>
      </c>
      <c r="L39" s="67">
        <v>301.89769999999999</v>
      </c>
      <c r="M39" s="5">
        <f t="shared" si="7"/>
        <v>61.366598920974369</v>
      </c>
      <c r="N39" s="6">
        <f>100*J39*K39*(L39*0.00000001^3)^2*M39/INDEX('Reference-aQuartz'!$H$4:$H$17,MATCH($B$22,'Reference-aQuartz'!$A$4:$A$17,0))</f>
        <v>3.2802695166395148</v>
      </c>
      <c r="O39" s="32">
        <f t="shared" si="8"/>
        <v>6.2072792391793898</v>
      </c>
      <c r="P39" s="32">
        <f t="shared" si="4"/>
        <v>4.0347315054666035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85" t="s">
        <v>33</v>
      </c>
      <c r="I40" s="85">
        <v>100495</v>
      </c>
      <c r="J40" s="72">
        <v>1.0779E-4</v>
      </c>
      <c r="K40" s="67">
        <v>2.7</v>
      </c>
      <c r="L40" s="67">
        <v>363.59780000000001</v>
      </c>
      <c r="M40" s="5">
        <f t="shared" si="7"/>
        <v>61.366598920974369</v>
      </c>
      <c r="N40" s="6">
        <f>100*J40*K40*(L40*0.00000001^3)^2*M40/INDEX('Reference-aQuartz'!$H$4:$H$17,MATCH($B$22,'Reference-aQuartz'!$A$4:$A$17,0))</f>
        <v>2.7983268628334863</v>
      </c>
      <c r="O40" s="32">
        <f t="shared" si="8"/>
        <v>5.2952954481310588</v>
      </c>
      <c r="P40" s="32">
        <f t="shared" si="4"/>
        <v>3.4419420412851882</v>
      </c>
      <c r="Q40" s="88"/>
    </row>
    <row r="41" spans="1:22" x14ac:dyDescent="0.25">
      <c r="A41" s="25" t="s">
        <v>7</v>
      </c>
      <c r="B41" s="40">
        <f>SUM(B27:B38)</f>
        <v>96.439750000000018</v>
      </c>
      <c r="C41" s="40">
        <f>SUM(C27:C39)</f>
        <v>99.999999999999972</v>
      </c>
      <c r="D41" s="25" t="s">
        <v>29</v>
      </c>
      <c r="E41" s="56">
        <f>SUM(E27:E39)</f>
        <v>90.115845077136527</v>
      </c>
      <c r="F41" s="57">
        <f>E41*(1-C23)+D40*C23</f>
        <v>61.366598920974369</v>
      </c>
      <c r="H41" s="85" t="s">
        <v>48</v>
      </c>
      <c r="I41" s="85">
        <v>86327</v>
      </c>
      <c r="J41" s="65">
        <v>9.4199999999999996E-6</v>
      </c>
      <c r="K41" s="72">
        <v>2.54</v>
      </c>
      <c r="L41" s="72">
        <v>675.06759999999997</v>
      </c>
      <c r="M41" s="5">
        <f t="shared" si="7"/>
        <v>61.366598920974369</v>
      </c>
      <c r="N41" s="6">
        <f>100*J41*K41*(L41*0.00000001^3)^2*M41/INDEX('Reference-aQuartz'!$H$4:$H$17,MATCH($B$22,'Reference-aQuartz'!$A$4:$A$17,0))</f>
        <v>0.79303592244814769</v>
      </c>
      <c r="O41" s="32">
        <f t="shared" si="8"/>
        <v>1.5006679763249564</v>
      </c>
      <c r="P41" s="32">
        <f t="shared" si="4"/>
        <v>0.97543418461122167</v>
      </c>
      <c r="Q41" s="88"/>
    </row>
    <row r="42" spans="1:22" x14ac:dyDescent="0.25">
      <c r="H42" s="85" t="s">
        <v>26</v>
      </c>
      <c r="I42" s="85">
        <v>87660</v>
      </c>
      <c r="J42" s="65">
        <v>5.2819999999999999E-5</v>
      </c>
      <c r="K42" s="72">
        <v>2.59</v>
      </c>
      <c r="L42" s="72">
        <v>335.95440000000002</v>
      </c>
      <c r="M42" s="5">
        <f t="shared" si="7"/>
        <v>61.366598920974369</v>
      </c>
      <c r="N42" s="6">
        <f>100*J42*K42*(L42*0.00000001^3)^2*M42/INDEX('Reference-aQuartz'!$H$4:$H$17,MATCH($B$22,'Reference-aQuartz'!$A$4:$A$17,0))</f>
        <v>1.1229813394716861</v>
      </c>
      <c r="O42" s="32">
        <f t="shared" si="8"/>
        <v>2.1250262270002676</v>
      </c>
      <c r="P42" s="32">
        <f t="shared" si="4"/>
        <v>1.3812670475501738</v>
      </c>
      <c r="Q42" s="21"/>
    </row>
    <row r="43" spans="1:22" x14ac:dyDescent="0.25">
      <c r="H43" s="107" t="s">
        <v>7</v>
      </c>
      <c r="I43" s="108"/>
      <c r="J43" s="108"/>
      <c r="K43" s="108"/>
      <c r="L43" s="108"/>
      <c r="M43" s="109"/>
      <c r="N43" s="6">
        <f>SUM(N27:N42)</f>
        <v>27.064816427501214</v>
      </c>
      <c r="O43" s="31">
        <f>SUM(O27:O42)</f>
        <v>51.214960316656146</v>
      </c>
      <c r="P43" s="31">
        <f>SUM(P27:P42)</f>
        <v>33.289724205826488</v>
      </c>
    </row>
    <row r="44" spans="1:22" x14ac:dyDescent="0.25">
      <c r="A44" s="42" t="s">
        <v>32</v>
      </c>
      <c r="B44" s="43">
        <v>44847</v>
      </c>
      <c r="C44" s="47" t="s">
        <v>85</v>
      </c>
      <c r="D44" s="48"/>
      <c r="E44" s="48" t="s">
        <v>77</v>
      </c>
      <c r="F44" s="49"/>
      <c r="H44" s="107" t="s">
        <v>28</v>
      </c>
      <c r="I44" s="108"/>
      <c r="J44" s="108"/>
      <c r="K44" s="108"/>
      <c r="L44" s="108"/>
      <c r="M44" s="109"/>
      <c r="N44" s="6">
        <f>100-N43</f>
        <v>72.935183572498786</v>
      </c>
      <c r="O44" s="31">
        <f>100-O43</f>
        <v>48.785039683343854</v>
      </c>
      <c r="P44" s="31">
        <f>100-P43</f>
        <v>66.710275794173512</v>
      </c>
    </row>
    <row r="45" spans="1:22" x14ac:dyDescent="0.25">
      <c r="A45" s="44" t="s">
        <v>78</v>
      </c>
      <c r="B45" s="50"/>
      <c r="C45" s="77">
        <v>0.4</v>
      </c>
      <c r="D45" s="52"/>
      <c r="E45" s="52">
        <v>0.26</v>
      </c>
      <c r="F45" s="53"/>
    </row>
    <row r="46" spans="1:22" x14ac:dyDescent="0.25">
      <c r="H46" s="46" t="s">
        <v>6</v>
      </c>
      <c r="I46" s="28">
        <v>2.7</v>
      </c>
      <c r="J46" s="33"/>
    </row>
    <row r="47" spans="1:22" x14ac:dyDescent="0.25">
      <c r="A47" s="25" t="s">
        <v>8</v>
      </c>
      <c r="B47" s="25" t="s">
        <v>30</v>
      </c>
      <c r="C47" s="25" t="s">
        <v>31</v>
      </c>
      <c r="D47" s="25" t="s">
        <v>68</v>
      </c>
      <c r="E47" s="25" t="s">
        <v>69</v>
      </c>
      <c r="F47" s="25" t="s">
        <v>74</v>
      </c>
      <c r="G47" s="54"/>
      <c r="H47" s="25" t="s">
        <v>9</v>
      </c>
      <c r="I47" s="25" t="s">
        <v>86</v>
      </c>
      <c r="J47" s="25" t="s">
        <v>2</v>
      </c>
      <c r="K47" s="25" t="s">
        <v>3</v>
      </c>
      <c r="L47" s="25" t="s">
        <v>4</v>
      </c>
      <c r="M47" s="25" t="s">
        <v>5</v>
      </c>
      <c r="N47" s="5" t="s">
        <v>15</v>
      </c>
      <c r="O47" s="5" t="s">
        <v>15</v>
      </c>
      <c r="P47" s="5" t="s">
        <v>15</v>
      </c>
      <c r="Q47" s="88" t="s">
        <v>96</v>
      </c>
      <c r="R47" s="89"/>
      <c r="S47" s="96" t="s">
        <v>122</v>
      </c>
      <c r="T47" s="96" t="s">
        <v>123</v>
      </c>
      <c r="U47" s="88" t="s">
        <v>82</v>
      </c>
      <c r="V47" s="36" t="s">
        <v>83</v>
      </c>
    </row>
    <row r="48" spans="1:22" x14ac:dyDescent="0.25">
      <c r="A48" s="25" t="s">
        <v>11</v>
      </c>
      <c r="B48" s="25" t="s">
        <v>93</v>
      </c>
      <c r="C48" s="25" t="s">
        <v>93</v>
      </c>
      <c r="D48" s="25" t="s">
        <v>13</v>
      </c>
      <c r="E48" s="25" t="s">
        <v>13</v>
      </c>
      <c r="F48" s="25" t="s">
        <v>13</v>
      </c>
      <c r="G48" s="54"/>
      <c r="H48" s="25" t="s">
        <v>11</v>
      </c>
      <c r="I48" s="25" t="s">
        <v>11</v>
      </c>
      <c r="J48" s="25" t="s">
        <v>11</v>
      </c>
      <c r="K48" s="25" t="s">
        <v>16</v>
      </c>
      <c r="L48" s="25" t="s">
        <v>19</v>
      </c>
      <c r="M48" s="25" t="s">
        <v>13</v>
      </c>
      <c r="N48" s="5" t="s">
        <v>75</v>
      </c>
      <c r="O48" s="88" t="s">
        <v>113</v>
      </c>
      <c r="P48" s="68" t="s">
        <v>76</v>
      </c>
      <c r="Q48" s="88" t="s">
        <v>76</v>
      </c>
      <c r="R48" s="89"/>
      <c r="S48" s="88" t="s">
        <v>76</v>
      </c>
      <c r="T48" s="88" t="s">
        <v>76</v>
      </c>
      <c r="U48" s="88" t="s">
        <v>11</v>
      </c>
      <c r="V48" s="36" t="s">
        <v>11</v>
      </c>
    </row>
    <row r="49" spans="1:22" x14ac:dyDescent="0.25">
      <c r="A49" s="1" t="s">
        <v>53</v>
      </c>
      <c r="B49" s="12">
        <f>0.65*'LA-Ref 0.5'!B6+0.35*B6</f>
        <v>32.36</v>
      </c>
      <c r="C49" s="18">
        <f>B49*(100-B$39)/B$41</f>
        <v>32.411758014719027</v>
      </c>
      <c r="D49" s="18">
        <f>INDEX(MAC!$H$3:$H$16,MATCH($A49,MAC!$A$3:$A$16,0))</f>
        <v>35.900659077291785</v>
      </c>
      <c r="E49" s="18">
        <f>C49*D49/100</f>
        <v>11.636034745821073</v>
      </c>
      <c r="F49" s="21"/>
      <c r="G49" s="55"/>
      <c r="H49" s="85" t="s">
        <v>34</v>
      </c>
      <c r="I49" s="85"/>
      <c r="J49" s="72">
        <f>0.00000035</f>
        <v>3.4999999999999998E-7</v>
      </c>
      <c r="K49" s="72">
        <f>'LA-Ref 0.5'!K6</f>
        <v>3.15</v>
      </c>
      <c r="L49" s="81">
        <f>'LA-Ref 0.5'!L6</f>
        <v>2166.0790000000002</v>
      </c>
      <c r="M49" s="5">
        <f>$F$63</f>
        <v>58.172238236956353</v>
      </c>
      <c r="N49" s="6">
        <f>100*J49*K49*(L49*0.00000001^3)^2*M49/INDEX('Reference-aQuartz'!$H$4:$H$17,MATCH($B$44,'Reference-aQuartz'!$A$4:$A$17,0))</f>
        <v>0.36970245444713895</v>
      </c>
      <c r="O49" s="32">
        <f>P49*100/65</f>
        <v>0.71665398862060792</v>
      </c>
      <c r="P49" s="32">
        <f t="shared" ref="P49:P64" si="10">N49*(1+$E$45)</f>
        <v>0.46582509260339511</v>
      </c>
      <c r="Q49" s="69"/>
      <c r="R49" s="110" t="s">
        <v>79</v>
      </c>
      <c r="S49" s="100">
        <f>('LA-Ref 0.5'!P6+'LA-Ref 0.5'!P7)*0.65</f>
        <v>42.364846282241693</v>
      </c>
      <c r="T49" s="100">
        <f>P49+P50</f>
        <v>0.46582509260339511</v>
      </c>
      <c r="U49" s="102">
        <f>(S49-T49)/S49</f>
        <v>0.9890044427518988</v>
      </c>
      <c r="V49" s="30">
        <f>(U49*S49+U51*S51+U52*S52+U53*S53)/S54</f>
        <v>0.97012947241224468</v>
      </c>
    </row>
    <row r="50" spans="1:22" x14ac:dyDescent="0.25">
      <c r="A50" s="1" t="s">
        <v>54</v>
      </c>
      <c r="B50" s="12">
        <f>0.65*'LA-Ref 0.5'!B7+0.35*B7</f>
        <v>6.32</v>
      </c>
      <c r="C50" s="18">
        <f t="shared" ref="C50:C60" si="11">B50*(100-B$39)/B$41</f>
        <v>6.3301084874234936</v>
      </c>
      <c r="D50" s="18">
        <f>INDEX(MAC!$H$3:$H$16,MATCH($A50,MAC!$A$3:$A$16,0))</f>
        <v>31.664851266660783</v>
      </c>
      <c r="E50" s="18">
        <f t="shared" ref="E50:E61" si="12">C50*D50/100</f>
        <v>2.0044194375609199</v>
      </c>
      <c r="F50" s="21"/>
      <c r="G50" s="55"/>
      <c r="H50" s="85" t="s">
        <v>35</v>
      </c>
      <c r="I50" s="85">
        <v>94742</v>
      </c>
      <c r="J50" s="72">
        <v>0</v>
      </c>
      <c r="K50" s="81">
        <f>'LA-Ref 0.5'!K7</f>
        <v>3.16</v>
      </c>
      <c r="L50" s="81">
        <f>'LA-Ref 0.5'!L7</f>
        <v>4316.1279999999997</v>
      </c>
      <c r="M50" s="5">
        <f t="shared" ref="M50:M64" si="13">$F$63</f>
        <v>58.172238236956353</v>
      </c>
      <c r="N50" s="6">
        <f>100*J50*K50*(L50*0.00000001^3)^2*M50/INDEX('Reference-aQuartz'!$H$4:$H$17,MATCH($B$44,'Reference-aQuartz'!$A$4:$A$17,0))</f>
        <v>0</v>
      </c>
      <c r="O50" s="32">
        <f t="shared" ref="O50:O64" si="14">P50*100/65</f>
        <v>0</v>
      </c>
      <c r="P50" s="32">
        <f t="shared" si="10"/>
        <v>0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0.5'!B8+0.35*B8</f>
        <v>9.2349999999999994</v>
      </c>
      <c r="C51" s="18">
        <f t="shared" si="11"/>
        <v>9.2497708673031571</v>
      </c>
      <c r="D51" s="18">
        <f>INDEX(MAC!$H$3:$H$16,MATCH($A51,MAC!$A$3:$A$16,0))</f>
        <v>214.68463619455559</v>
      </c>
      <c r="E51" s="18">
        <f t="shared" si="12"/>
        <v>19.857836935299773</v>
      </c>
      <c r="F51" s="21"/>
      <c r="G51" s="55"/>
      <c r="H51" s="85" t="s">
        <v>36</v>
      </c>
      <c r="I51" s="85">
        <v>81096</v>
      </c>
      <c r="J51" s="65">
        <v>3.5750000000000002E-5</v>
      </c>
      <c r="K51" s="81">
        <f>'LA-Ref 0.5'!K8</f>
        <v>3.29</v>
      </c>
      <c r="L51" s="81">
        <f>'LA-Ref 0.5'!L8</f>
        <v>347.22930000000002</v>
      </c>
      <c r="M51" s="5">
        <f t="shared" si="13"/>
        <v>58.172238236956353</v>
      </c>
      <c r="N51" s="6">
        <f>100*J51*K51*(L51*0.00000001^3)^2*M51/INDEX('Reference-aQuartz'!$H$4:$H$17,MATCH($B$44,'Reference-aQuartz'!$A$4:$A$17,0))</f>
        <v>1.0135141714343363</v>
      </c>
      <c r="O51" s="32">
        <f t="shared" si="14"/>
        <v>1.964658240011175</v>
      </c>
      <c r="P51" s="32">
        <f t="shared" si="10"/>
        <v>1.2770278560072637</v>
      </c>
      <c r="Q51" s="69"/>
      <c r="R51" s="89" t="s">
        <v>80</v>
      </c>
      <c r="S51" s="69">
        <f>'LA-Ref 0.5'!P8*0.65</f>
        <v>6.6266164042793037</v>
      </c>
      <c r="T51" s="69">
        <f>P51</f>
        <v>1.2770278560072637</v>
      </c>
      <c r="U51" s="34">
        <f>(S51-T51)/S51</f>
        <v>0.80728809725841522</v>
      </c>
    </row>
    <row r="52" spans="1:22" x14ac:dyDescent="0.25">
      <c r="A52" s="1" t="s">
        <v>0</v>
      </c>
      <c r="B52" s="12">
        <f>0.65*'LA-Ref 0.5'!B9+0.35*B9</f>
        <v>0.96500000000000008</v>
      </c>
      <c r="C52" s="18">
        <f t="shared" si="11"/>
        <v>0.96654346366513799</v>
      </c>
      <c r="D52" s="18">
        <f>INDEX(MAC!$H$3:$H$16,MATCH($A52,MAC!$A$3:$A$16,0))</f>
        <v>28.686693628423974</v>
      </c>
      <c r="E52" s="18">
        <f t="shared" si="12"/>
        <v>0.27726936220717557</v>
      </c>
      <c r="F52" s="21"/>
      <c r="G52" s="55"/>
      <c r="H52" s="85" t="s">
        <v>37</v>
      </c>
      <c r="I52" s="85">
        <v>1841</v>
      </c>
      <c r="J52" s="72">
        <v>0</v>
      </c>
      <c r="K52" s="81">
        <f>'LA-Ref 0.5'!K9</f>
        <v>3.04</v>
      </c>
      <c r="L52" s="81">
        <f>'LA-Ref 0.5'!L9</f>
        <v>3541.5859999999998</v>
      </c>
      <c r="M52" s="5">
        <f t="shared" si="13"/>
        <v>58.172238236956353</v>
      </c>
      <c r="N52" s="6">
        <f>100*J52*K52*(L52*0.00000001^3)^2*M52/INDEX('Reference-aQuartz'!$H$4:$H$17,MATCH($B$44,'Reference-aQuartz'!$A$4:$A$17,0))</f>
        <v>0</v>
      </c>
      <c r="O52" s="32">
        <f t="shared" si="14"/>
        <v>0</v>
      </c>
      <c r="P52" s="32">
        <f t="shared" si="10"/>
        <v>0</v>
      </c>
      <c r="Q52" s="69"/>
      <c r="R52" s="89" t="s">
        <v>37</v>
      </c>
      <c r="S52" s="69">
        <f>'LA-Ref 0.5'!P9*0.65</f>
        <v>2.3605659551948133</v>
      </c>
      <c r="T52" s="69">
        <f>P52</f>
        <v>0</v>
      </c>
      <c r="U52" s="34">
        <f t="shared" ref="U52:U53" si="15">(S52-T52)/S52</f>
        <v>1</v>
      </c>
    </row>
    <row r="53" spans="1:22" x14ac:dyDescent="0.25">
      <c r="A53" s="1" t="s">
        <v>1</v>
      </c>
      <c r="B53" s="12">
        <f>0.65*'LA-Ref 0.5'!B10+0.35*B10</f>
        <v>41.7</v>
      </c>
      <c r="C53" s="18">
        <f t="shared" si="11"/>
        <v>41.766696823664503</v>
      </c>
      <c r="D53" s="18">
        <f>INDEX(MAC!$H$3:$H$16,MATCH($A53,MAC!$A$3:$A$16,0))</f>
        <v>124.77929454143408</v>
      </c>
      <c r="E53" s="18">
        <f t="shared" si="12"/>
        <v>52.116189649828122</v>
      </c>
      <c r="F53" s="21"/>
      <c r="G53" s="55"/>
      <c r="H53" s="85" t="s">
        <v>38</v>
      </c>
      <c r="I53" s="85">
        <v>98836</v>
      </c>
      <c r="J53" s="72">
        <v>0</v>
      </c>
      <c r="K53" s="81">
        <f>'LA-Ref 0.5'!K10</f>
        <v>3.75</v>
      </c>
      <c r="L53" s="81">
        <f>'LA-Ref 0.5'!L10</f>
        <v>430.91660000000002</v>
      </c>
      <c r="M53" s="5">
        <f t="shared" si="13"/>
        <v>58.172238236956353</v>
      </c>
      <c r="N53" s="6">
        <f>100*J53*K53*(L53*0.00000001^3)^2*M53/INDEX('Reference-aQuartz'!$H$4:$H$17,MATCH($B$44,'Reference-aQuartz'!$A$4:$A$17,0))</f>
        <v>0</v>
      </c>
      <c r="O53" s="32">
        <f t="shared" si="14"/>
        <v>0</v>
      </c>
      <c r="P53" s="32">
        <f t="shared" si="10"/>
        <v>0</v>
      </c>
      <c r="Q53" s="69"/>
      <c r="R53" s="89" t="s">
        <v>81</v>
      </c>
      <c r="S53" s="69">
        <f>'LA-Ref 0.5'!P10*0.65</f>
        <v>6.9948801462326609</v>
      </c>
      <c r="T53" s="69">
        <f>P53</f>
        <v>0</v>
      </c>
      <c r="U53" s="34">
        <f t="shared" si="15"/>
        <v>1</v>
      </c>
    </row>
    <row r="54" spans="1:22" x14ac:dyDescent="0.25">
      <c r="A54" s="1" t="s">
        <v>56</v>
      </c>
      <c r="B54" s="12">
        <f>0.65*'LA-Ref 0.5'!B11+0.35*B11</f>
        <v>1.0975000000000001</v>
      </c>
      <c r="C54" s="18">
        <f t="shared" si="11"/>
        <v>1.0992553900233044</v>
      </c>
      <c r="D54" s="18">
        <f>INDEX(MAC!$H$3:$H$16,MATCH($A54,MAC!$A$3:$A$16,0))</f>
        <v>122.32505440840811</v>
      </c>
      <c r="E54" s="18">
        <f t="shared" si="12"/>
        <v>1.344664753933366</v>
      </c>
      <c r="F54" s="21"/>
      <c r="G54" s="55"/>
      <c r="H54" s="85" t="s">
        <v>40</v>
      </c>
      <c r="I54" s="85">
        <v>202220</v>
      </c>
      <c r="J54" s="72">
        <v>8.4082400000000009E-3</v>
      </c>
      <c r="K54" s="72">
        <v>2.2400000000000002</v>
      </c>
      <c r="L54" s="72">
        <v>54.871049999999997</v>
      </c>
      <c r="M54" s="5">
        <f t="shared" si="13"/>
        <v>58.172238236956353</v>
      </c>
      <c r="N54" s="6">
        <f>100*J54*K54*(L54*0.00000001^3)^2*M54/INDEX('Reference-aQuartz'!$H$4:$H$17,MATCH($B$44,'Reference-aQuartz'!$A$4:$A$17,0))</f>
        <v>4.0528899503015738</v>
      </c>
      <c r="O54" s="32">
        <f t="shared" si="14"/>
        <v>7.8563712882768977</v>
      </c>
      <c r="P54" s="32">
        <f t="shared" si="10"/>
        <v>5.1066413373799833</v>
      </c>
      <c r="Q54" s="69">
        <v>5.9</v>
      </c>
      <c r="R54" s="89" t="s">
        <v>84</v>
      </c>
      <c r="S54" s="69">
        <f>SUM(S49:S53)</f>
        <v>58.346908787948472</v>
      </c>
      <c r="T54" s="69">
        <f>SUM(T49:T53)</f>
        <v>1.7428529486106588</v>
      </c>
    </row>
    <row r="55" spans="1:22" x14ac:dyDescent="0.25">
      <c r="A55" s="1" t="s">
        <v>57</v>
      </c>
      <c r="B55" s="12">
        <f>0.65*'LA-Ref 0.5'!B12+0.35*B12</f>
        <v>2.1740000000000004</v>
      </c>
      <c r="C55" s="18">
        <f t="shared" si="11"/>
        <v>2.177477191718145</v>
      </c>
      <c r="D55" s="18">
        <f>INDEX(MAC!$H$3:$H$16,MATCH($A55,MAC!$A$3:$A$16,0))</f>
        <v>44.261072668681777</v>
      </c>
      <c r="E55" s="18">
        <f t="shared" si="12"/>
        <v>0.96377476217033942</v>
      </c>
      <c r="F55" s="21"/>
      <c r="G55" s="55"/>
      <c r="H55" s="85" t="s">
        <v>25</v>
      </c>
      <c r="I55" s="85">
        <v>73446</v>
      </c>
      <c r="J55" s="65">
        <v>2.5369999999999999E-5</v>
      </c>
      <c r="K55" s="85">
        <v>2.67</v>
      </c>
      <c r="L55" s="85">
        <v>373.62329999999997</v>
      </c>
      <c r="M55" s="5">
        <f t="shared" si="13"/>
        <v>58.172238236956353</v>
      </c>
      <c r="N55" s="6">
        <f>100*J55*K55*(L55*0.00000001^3)^2*M55/INDEX('Reference-aQuartz'!$H$4:$H$17,MATCH($B$44,'Reference-aQuartz'!$A$4:$A$17,0))</f>
        <v>0.67581026560800195</v>
      </c>
      <c r="O55" s="32">
        <f t="shared" si="14"/>
        <v>1.3100322071785884</v>
      </c>
      <c r="P55" s="32">
        <f t="shared" si="10"/>
        <v>0.85152093466608247</v>
      </c>
      <c r="Q55" s="69">
        <v>1.5</v>
      </c>
    </row>
    <row r="56" spans="1:22" x14ac:dyDescent="0.25">
      <c r="A56" s="1" t="s">
        <v>14</v>
      </c>
      <c r="B56" s="12">
        <f>0.65*'LA-Ref 0.5'!B13+0.35*B13</f>
        <v>0.10550000000000001</v>
      </c>
      <c r="C56" s="18">
        <f t="shared" si="11"/>
        <v>0.10566874136442701</v>
      </c>
      <c r="D56" s="18">
        <f>INDEX(MAC!$H$3:$H$16,MATCH($A56,MAC!$A$3:$A$16,0))</f>
        <v>97.328178229861322</v>
      </c>
      <c r="E56" s="18">
        <f t="shared" si="12"/>
        <v>0.10284546092842073</v>
      </c>
      <c r="F56" s="21"/>
      <c r="G56" s="55"/>
      <c r="H56" s="85" t="s">
        <v>21</v>
      </c>
      <c r="I56" s="85">
        <v>174</v>
      </c>
      <c r="J56" s="85">
        <v>1.8984200000000001E-3</v>
      </c>
      <c r="K56" s="85">
        <v>2.65</v>
      </c>
      <c r="L56" s="85">
        <v>112.9011</v>
      </c>
      <c r="M56" s="5">
        <f t="shared" si="13"/>
        <v>58.172238236956353</v>
      </c>
      <c r="N56" s="6">
        <f>100*J56*K56*(L56*0.00000001^3)^2*M56/INDEX('Reference-aQuartz'!$H$4:$H$17,MATCH($B$44,'Reference-aQuartz'!$A$4:$A$17,0))</f>
        <v>4.5831035839467456</v>
      </c>
      <c r="O56" s="32">
        <f t="shared" si="14"/>
        <v>8.8841700242659982</v>
      </c>
      <c r="P56" s="32">
        <f t="shared" si="10"/>
        <v>5.7747105157728997</v>
      </c>
      <c r="Q56" s="69"/>
    </row>
    <row r="57" spans="1:22" x14ac:dyDescent="0.25">
      <c r="A57" s="1" t="s">
        <v>58</v>
      </c>
      <c r="B57" s="12">
        <f>0.65*'LA-Ref 0.5'!B14+0.35*B14</f>
        <v>0.57499999999999996</v>
      </c>
      <c r="C57" s="18">
        <f t="shared" si="11"/>
        <v>0.57591968042223241</v>
      </c>
      <c r="D57" s="18">
        <f>INDEX(MAC!$H$3:$H$16,MATCH($A57,MAC!$A$3:$A$16,0))</f>
        <v>19.10926020222594</v>
      </c>
      <c r="E57" s="18">
        <f t="shared" si="12"/>
        <v>0.11005399028771247</v>
      </c>
      <c r="F57" s="21"/>
      <c r="G57" s="55"/>
      <c r="H57" s="85" t="s">
        <v>87</v>
      </c>
      <c r="I57" s="85">
        <v>155395</v>
      </c>
      <c r="J57" s="65">
        <v>5.3399999999999997E-6</v>
      </c>
      <c r="K57" s="85">
        <v>1.79</v>
      </c>
      <c r="L57" s="85">
        <v>2331.9679999999998</v>
      </c>
      <c r="M57" s="5">
        <f t="shared" si="13"/>
        <v>58.172238236956353</v>
      </c>
      <c r="N57" s="6">
        <f>100*J57*K57*(L57*0.00000001^3)^2*M57/INDEX('Reference-aQuartz'!$H$4:$H$17,MATCH($B$44,'Reference-aQuartz'!$A$4:$A$17,0))</f>
        <v>3.7150495712986209</v>
      </c>
      <c r="O57" s="32">
        <f t="shared" si="14"/>
        <v>7.2014807074404041</v>
      </c>
      <c r="P57" s="32">
        <f t="shared" si="10"/>
        <v>4.6809624598362625</v>
      </c>
      <c r="Q57" s="69"/>
    </row>
    <row r="58" spans="1:22" x14ac:dyDescent="0.25">
      <c r="A58" s="1" t="s">
        <v>59</v>
      </c>
      <c r="B58" s="12">
        <f>0.65*'LA-Ref 0.5'!B15+0.35*B15</f>
        <v>0.66249999999999998</v>
      </c>
      <c r="C58" s="18">
        <f t="shared" si="11"/>
        <v>0.66355963179083288</v>
      </c>
      <c r="D58" s="18">
        <f>INDEX(MAC!$H$3:$H$16,MATCH($A58,MAC!$A$3:$A$16,0))</f>
        <v>124.47726788956365</v>
      </c>
      <c r="E58" s="18">
        <f t="shared" si="12"/>
        <v>0.82598090047127726</v>
      </c>
      <c r="F58" s="21"/>
      <c r="G58" s="55"/>
      <c r="H58" s="85" t="s">
        <v>88</v>
      </c>
      <c r="I58" s="85">
        <v>81963</v>
      </c>
      <c r="J58" s="82">
        <v>0</v>
      </c>
      <c r="K58" s="85">
        <v>2.14</v>
      </c>
      <c r="L58" s="85">
        <v>182.19409999999999</v>
      </c>
      <c r="M58" s="5">
        <f t="shared" si="13"/>
        <v>58.172238236956353</v>
      </c>
      <c r="N58" s="6">
        <f>100*J58*K58*(L58*0.00000001^3)^2*M58/INDEX('Reference-aQuartz'!$H$4:$H$17,MATCH($B$44,'Reference-aQuartz'!$A$4:$A$17,0))</f>
        <v>0</v>
      </c>
      <c r="O58" s="32">
        <f t="shared" si="14"/>
        <v>0</v>
      </c>
      <c r="P58" s="32">
        <f t="shared" si="10"/>
        <v>0</v>
      </c>
      <c r="Q58" s="69"/>
    </row>
    <row r="59" spans="1:22" x14ac:dyDescent="0.25">
      <c r="A59" s="1" t="s">
        <v>60</v>
      </c>
      <c r="B59" s="12">
        <f>0.65*'LA-Ref 0.5'!B16+0.35*B16</f>
        <v>1.2085000000000001</v>
      </c>
      <c r="C59" s="18">
        <f t="shared" si="11"/>
        <v>1.2104329283309008</v>
      </c>
      <c r="D59" s="18">
        <f>INDEX(MAC!$H$3:$H$16,MATCH($A59,MAC!$A$3:$A$16,0))</f>
        <v>39.431437267071992</v>
      </c>
      <c r="E59" s="18">
        <f t="shared" si="12"/>
        <v>0.4772911007947816</v>
      </c>
      <c r="F59" s="21"/>
      <c r="G59" s="55"/>
      <c r="H59" s="85" t="s">
        <v>89</v>
      </c>
      <c r="I59" s="85">
        <v>59327</v>
      </c>
      <c r="J59" s="65">
        <v>3.2020000000000002E-5</v>
      </c>
      <c r="K59" s="85">
        <v>2.16</v>
      </c>
      <c r="L59" s="85">
        <v>436.87709999999998</v>
      </c>
      <c r="M59" s="5">
        <f t="shared" si="13"/>
        <v>58.172238236956353</v>
      </c>
      <c r="N59" s="6">
        <f>100*J59*K59*(L59*0.00000001^3)^2*M59/INDEX('Reference-aQuartz'!$H$4:$H$17,MATCH($B$44,'Reference-aQuartz'!$A$4:$A$17,0))</f>
        <v>0.94344978962022075</v>
      </c>
      <c r="O59" s="32">
        <f t="shared" si="14"/>
        <v>1.828841130648428</v>
      </c>
      <c r="P59" s="32">
        <f t="shared" si="10"/>
        <v>1.1887467349214782</v>
      </c>
      <c r="Q59" s="69"/>
    </row>
    <row r="60" spans="1:22" x14ac:dyDescent="0.25">
      <c r="A60" s="19" t="s">
        <v>23</v>
      </c>
      <c r="B60" s="12">
        <f>0.65*'LA-Ref 0.5'!B17+0.35*B17</f>
        <v>3.6750000000000005E-2</v>
      </c>
      <c r="C60" s="18">
        <f t="shared" si="11"/>
        <v>3.6808779574812253E-2</v>
      </c>
      <c r="D60" s="18">
        <f>INDEX(MAC!$H$3:$H$16,MATCH($A60,MAC!$A$3:$A$16,0))</f>
        <v>197.69998688868492</v>
      </c>
      <c r="E60" s="18">
        <f t="shared" si="12"/>
        <v>7.2770952393288763E-2</v>
      </c>
      <c r="F60" s="21"/>
      <c r="G60" s="55"/>
      <c r="H60" s="85" t="s">
        <v>90</v>
      </c>
      <c r="I60" s="85">
        <v>2105252</v>
      </c>
      <c r="J60" s="65">
        <v>2.17E-6</v>
      </c>
      <c r="K60" s="85">
        <v>1.82</v>
      </c>
      <c r="L60" s="85">
        <v>1415.885</v>
      </c>
      <c r="M60" s="5">
        <f t="shared" si="13"/>
        <v>58.172238236956353</v>
      </c>
      <c r="N60" s="6">
        <f>100*J60*K60*(L60*0.00000001^3)^2*M60/INDEX('Reference-aQuartz'!$H$4:$H$17,MATCH($B$44,'Reference-aQuartz'!$A$4:$A$17,0))</f>
        <v>0.56586422171731654</v>
      </c>
      <c r="O60" s="32">
        <f t="shared" si="14"/>
        <v>1.0969060297904905</v>
      </c>
      <c r="P60" s="32">
        <f t="shared" si="10"/>
        <v>0.71298891936381881</v>
      </c>
      <c r="Q60" s="69"/>
    </row>
    <row r="61" spans="1:22" x14ac:dyDescent="0.25">
      <c r="A61" s="1" t="s">
        <v>66</v>
      </c>
      <c r="B61" s="12">
        <f>0.65*'LA-Ref 0.5'!B18+0.35*B18</f>
        <v>3.4059999999999997</v>
      </c>
      <c r="C61" s="18">
        <f>B61</f>
        <v>3.4059999999999997</v>
      </c>
      <c r="D61" s="18">
        <f>INDEX(MAC!$H$3:$H$16,MATCH($A61,MAC!$A$3:$A$16,0))</f>
        <v>9.592279079279237</v>
      </c>
      <c r="E61" s="18">
        <f t="shared" si="12"/>
        <v>0.32671302544025077</v>
      </c>
      <c r="F61" s="21"/>
      <c r="G61" s="55"/>
      <c r="H61" s="85" t="s">
        <v>42</v>
      </c>
      <c r="I61" s="85">
        <v>201096</v>
      </c>
      <c r="J61" s="65">
        <v>8.3070000000000003E-5</v>
      </c>
      <c r="K61" s="72">
        <v>5.27</v>
      </c>
      <c r="L61" s="72">
        <v>301.84739999999999</v>
      </c>
      <c r="M61" s="5">
        <f t="shared" si="13"/>
        <v>58.172238236956353</v>
      </c>
      <c r="N61" s="6">
        <f>100*J61*K61*(L61*0.00000001^3)^2*M61/INDEX('Reference-aQuartz'!$H$4:$H$17,MATCH($B$44,'Reference-aQuartz'!$A$4:$A$17,0))</f>
        <v>2.850721927292529</v>
      </c>
      <c r="O61" s="32">
        <f t="shared" si="14"/>
        <v>5.526014812905518</v>
      </c>
      <c r="P61" s="32">
        <f t="shared" si="10"/>
        <v>3.5919096283885867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85" t="s">
        <v>33</v>
      </c>
      <c r="I62" s="85">
        <v>100495</v>
      </c>
      <c r="J62" s="65">
        <v>7.8090000000000006E-5</v>
      </c>
      <c r="K62" s="72">
        <v>2.54</v>
      </c>
      <c r="L62" s="72">
        <v>364.6275</v>
      </c>
      <c r="M62" s="5">
        <f t="shared" si="13"/>
        <v>58.172238236956353</v>
      </c>
      <c r="N62" s="6">
        <f>100*J62*K62*(L62*0.00000001^3)^2*M62/INDEX('Reference-aQuartz'!$H$4:$H$17,MATCH($B$44,'Reference-aQuartz'!$A$4:$A$17,0))</f>
        <v>1.884747304720424</v>
      </c>
      <c r="O62" s="32">
        <f t="shared" si="14"/>
        <v>3.6535101599195907</v>
      </c>
      <c r="P62" s="32">
        <f t="shared" si="10"/>
        <v>2.3747816039477341</v>
      </c>
      <c r="Q62" s="21"/>
    </row>
    <row r="63" spans="1:22" x14ac:dyDescent="0.25">
      <c r="A63" s="25" t="s">
        <v>7</v>
      </c>
      <c r="B63" s="40">
        <f>SUM(B49:B60)</f>
        <v>96.439750000000018</v>
      </c>
      <c r="C63" s="40">
        <f>SUM(C49:C61)</f>
        <v>99.999999999999972</v>
      </c>
      <c r="D63" s="25" t="s">
        <v>29</v>
      </c>
      <c r="E63" s="56">
        <f>SUM(E49:E61)</f>
        <v>90.115845077136527</v>
      </c>
      <c r="F63" s="57">
        <f>E63*(1-C45)+D62*C45</f>
        <v>58.172238236956353</v>
      </c>
      <c r="H63" s="72" t="s">
        <v>48</v>
      </c>
      <c r="I63" s="72">
        <v>86327</v>
      </c>
      <c r="J63" s="65">
        <v>6.7900000000000002E-6</v>
      </c>
      <c r="K63" s="72">
        <v>2.7</v>
      </c>
      <c r="L63" s="72">
        <v>671.49180000000001</v>
      </c>
      <c r="M63" s="5">
        <f t="shared" si="13"/>
        <v>58.172238236956353</v>
      </c>
      <c r="N63" s="6">
        <f>100*J63*K63*(L63*0.00000001^3)^2*M63/INDEX('Reference-aQuartz'!$H$4:$H$17,MATCH($B$44,'Reference-aQuartz'!$A$4:$A$17,0))</f>
        <v>0.59079949785545338</v>
      </c>
      <c r="O63" s="32">
        <f t="shared" si="14"/>
        <v>1.1452421035351867</v>
      </c>
      <c r="P63" s="32">
        <f t="shared" si="10"/>
        <v>0.74440736729787127</v>
      </c>
      <c r="Q63" s="21"/>
    </row>
    <row r="64" spans="1:22" x14ac:dyDescent="0.25">
      <c r="H64" s="72" t="s">
        <v>26</v>
      </c>
      <c r="I64" s="72">
        <v>87660</v>
      </c>
      <c r="J64" s="65">
        <v>2.4139999999999999E-5</v>
      </c>
      <c r="K64" s="72">
        <v>2.59</v>
      </c>
      <c r="L64" s="72">
        <v>336.42910000000001</v>
      </c>
      <c r="M64" s="5">
        <f t="shared" si="13"/>
        <v>58.172238236956353</v>
      </c>
      <c r="N64" s="6">
        <f>100*J64*K64*(L64*0.00000001^3)^2*M64/INDEX('Reference-aQuartz'!$H$4:$H$17,MATCH($B$44,'Reference-aQuartz'!$A$4:$A$17,0))</f>
        <v>0.50576560245808055</v>
      </c>
      <c r="O64" s="32">
        <f t="shared" si="14"/>
        <v>0.98040716784181781</v>
      </c>
      <c r="P64" s="32">
        <f t="shared" si="10"/>
        <v>0.63726465909718155</v>
      </c>
      <c r="Q64" s="21"/>
    </row>
    <row r="65" spans="8:16" x14ac:dyDescent="0.25">
      <c r="H65" s="107" t="s">
        <v>7</v>
      </c>
      <c r="I65" s="108"/>
      <c r="J65" s="108"/>
      <c r="K65" s="108"/>
      <c r="L65" s="108"/>
      <c r="M65" s="109"/>
      <c r="N65" s="6">
        <f>SUM(N49:N64)</f>
        <v>21.751418340700443</v>
      </c>
      <c r="O65" s="31">
        <f>SUM(O49:O64)</f>
        <v>42.164287860434705</v>
      </c>
      <c r="P65" s="31">
        <f>SUM(P49:P64)</f>
        <v>27.406787109282558</v>
      </c>
    </row>
    <row r="66" spans="8:16" x14ac:dyDescent="0.25">
      <c r="H66" s="107" t="s">
        <v>28</v>
      </c>
      <c r="I66" s="108"/>
      <c r="J66" s="108"/>
      <c r="K66" s="108"/>
      <c r="L66" s="108"/>
      <c r="M66" s="109"/>
      <c r="N66" s="6">
        <f>100-N65</f>
        <v>78.24858165929956</v>
      </c>
      <c r="O66" s="31">
        <f>100-O65</f>
        <v>57.835712139565295</v>
      </c>
      <c r="P66" s="31">
        <f>100-P65</f>
        <v>72.593212890717439</v>
      </c>
    </row>
  </sheetData>
  <mergeCells count="14">
    <mergeCell ref="H19:M19"/>
    <mergeCell ref="H18:M18"/>
    <mergeCell ref="H65:M65"/>
    <mergeCell ref="H66:M66"/>
    <mergeCell ref="H43:M43"/>
    <mergeCell ref="H44:M44"/>
    <mergeCell ref="S49:S50"/>
    <mergeCell ref="T49:T50"/>
    <mergeCell ref="U49:U50"/>
    <mergeCell ref="R49:R50"/>
    <mergeCell ref="R27:R28"/>
    <mergeCell ref="S27:S28"/>
    <mergeCell ref="U27:U28"/>
    <mergeCell ref="T27:T28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AC2BD-106B-4401-A268-92DA6A9BA41A}">
  <sheetPr>
    <tabColor theme="9"/>
  </sheetPr>
  <dimension ref="A1:AV64"/>
  <sheetViews>
    <sheetView zoomScaleNormal="100" workbookViewId="0">
      <selection activeCell="O22" sqref="O22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8.570312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42" t="s">
        <v>32</v>
      </c>
      <c r="B1" s="43">
        <v>44687</v>
      </c>
      <c r="H1" s="38" t="s">
        <v>20</v>
      </c>
      <c r="I1" s="38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>
        <v>8.3699999999999992</v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25" t="s">
        <v>8</v>
      </c>
      <c r="B4" s="25" t="s">
        <v>30</v>
      </c>
      <c r="C4" s="25" t="s">
        <v>31</v>
      </c>
      <c r="D4" s="25" t="s">
        <v>68</v>
      </c>
      <c r="E4" s="25" t="s">
        <v>69</v>
      </c>
      <c r="H4" s="25" t="s">
        <v>9</v>
      </c>
      <c r="I4" s="25" t="s">
        <v>86</v>
      </c>
      <c r="J4" s="25" t="s">
        <v>2</v>
      </c>
      <c r="K4" s="25" t="s">
        <v>3</v>
      </c>
      <c r="L4" s="25" t="s">
        <v>4</v>
      </c>
      <c r="M4" s="25" t="s">
        <v>5</v>
      </c>
      <c r="N4" s="5" t="s">
        <v>15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25" t="s">
        <v>11</v>
      </c>
      <c r="B5" s="25" t="s">
        <v>93</v>
      </c>
      <c r="C5" s="25" t="s">
        <v>93</v>
      </c>
      <c r="D5" s="25" t="s">
        <v>13</v>
      </c>
      <c r="E5" s="25" t="s">
        <v>13</v>
      </c>
      <c r="H5" s="25" t="s">
        <v>11</v>
      </c>
      <c r="I5" s="25" t="s">
        <v>11</v>
      </c>
      <c r="J5" s="25" t="s">
        <v>11</v>
      </c>
      <c r="K5" s="25" t="s">
        <v>16</v>
      </c>
      <c r="L5" s="25" t="s">
        <v>19</v>
      </c>
      <c r="M5" s="25" t="s">
        <v>13</v>
      </c>
      <c r="N5" s="5" t="s">
        <v>12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63.4</v>
      </c>
      <c r="C6" s="18">
        <f t="shared" ref="C6:C17" si="0">B6*(100-B$18)/B$19</f>
        <v>63.571305960264894</v>
      </c>
      <c r="D6" s="18">
        <f>INDEX(MAC!$H$3:$H$16,MATCH('LA-CB'!$A6,MAC!$A$3:$A$16,0))</f>
        <v>35.900659077291785</v>
      </c>
      <c r="E6" s="18">
        <f>C6*D6/100</f>
        <v>22.822517823776771</v>
      </c>
      <c r="F6" s="39"/>
      <c r="G6" s="39"/>
      <c r="H6" s="25" t="s">
        <v>21</v>
      </c>
      <c r="I6" s="25">
        <v>174</v>
      </c>
      <c r="J6" s="25">
        <v>1.060353E-2</v>
      </c>
      <c r="K6" s="25">
        <v>2.65</v>
      </c>
      <c r="L6" s="25">
        <v>112.98950000000001</v>
      </c>
      <c r="M6" s="5">
        <f t="shared" ref="M6:M11" si="1">$E$19</f>
        <v>52.801668777044561</v>
      </c>
      <c r="N6" s="6">
        <f>100*J6*K6*(L6*0.00000001^3)^2*M6/INDEX('Reference-aQuartz'!$H$4:$H$17,MATCH($B$1,'Reference-aQuartz'!$A$4:$A$17,0))</f>
        <v>32.678657572109749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11.2</v>
      </c>
      <c r="C7" s="18">
        <f t="shared" si="0"/>
        <v>11.230262251655629</v>
      </c>
      <c r="D7" s="18">
        <f>INDEX(MAC!$H$3:$H$16,MATCH('LA-CB'!$A7,MAC!$A$3:$A$16,0))</f>
        <v>31.664851266660783</v>
      </c>
      <c r="E7" s="18">
        <f t="shared" ref="E7:E10" si="2">C7*D7/100</f>
        <v>3.5560458388427052</v>
      </c>
      <c r="F7" s="39"/>
      <c r="G7" s="39"/>
      <c r="H7" s="25" t="s">
        <v>25</v>
      </c>
      <c r="I7" s="75">
        <v>73446</v>
      </c>
      <c r="J7" s="25">
        <v>2.6862000000000001E-4</v>
      </c>
      <c r="K7" s="25">
        <v>2.71</v>
      </c>
      <c r="L7" s="25">
        <v>368.4751</v>
      </c>
      <c r="M7" s="5">
        <f t="shared" si="1"/>
        <v>52.801668777044561</v>
      </c>
      <c r="N7" s="6">
        <f>100*J7*K7*(L7*0.00000001^3)^2*M7/INDEX('Reference-aQuartz'!$H$4:$H$17,MATCH($B$1,'Reference-aQuartz'!$A$4:$A$17,0))</f>
        <v>9.0035880685430687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4.32</v>
      </c>
      <c r="C8" s="18">
        <f t="shared" si="0"/>
        <v>4.3316725827814571</v>
      </c>
      <c r="D8" s="18">
        <f>INDEX(MAC!$H$3:$H$16,MATCH('LA-CB'!$A8,MAC!$A$3:$A$16,0))</f>
        <v>214.68463619455559</v>
      </c>
      <c r="E8" s="18">
        <f t="shared" si="2"/>
        <v>9.2994355254836805</v>
      </c>
      <c r="F8" s="39"/>
      <c r="G8" s="39"/>
      <c r="H8" s="25" t="s">
        <v>26</v>
      </c>
      <c r="I8" s="25">
        <v>87658</v>
      </c>
      <c r="J8" s="25">
        <v>6.3325000000000002E-4</v>
      </c>
      <c r="K8" s="25">
        <v>2.6</v>
      </c>
      <c r="L8" s="25">
        <v>334.4273</v>
      </c>
      <c r="M8" s="5">
        <f t="shared" si="1"/>
        <v>52.801668777044561</v>
      </c>
      <c r="N8" s="6">
        <f>100*J8*K8*(L8*0.00000001^3)^2*M8/INDEX('Reference-aQuartz'!$H$4:$H$17,MATCH($B$1,'Reference-aQuartz'!$A$4:$A$17,0))</f>
        <v>16.774272046109431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1.2</v>
      </c>
      <c r="C9" s="18">
        <f t="shared" si="0"/>
        <v>1.2032423841059603</v>
      </c>
      <c r="D9" s="18">
        <f>INDEX(MAC!$H$3:$H$16,MATCH('LA-CB'!$A9,MAC!$A$3:$A$16,0))</f>
        <v>28.686693628423974</v>
      </c>
      <c r="E9" s="18">
        <f t="shared" si="2"/>
        <v>0.34517045633582122</v>
      </c>
      <c r="F9" s="39"/>
      <c r="G9" s="39"/>
      <c r="H9" s="25" t="s">
        <v>33</v>
      </c>
      <c r="I9" s="25">
        <v>202423</v>
      </c>
      <c r="J9" s="25">
        <v>5.6753999999999995E-4</v>
      </c>
      <c r="K9" s="25">
        <v>2.56</v>
      </c>
      <c r="L9" s="25">
        <v>359.64699999999999</v>
      </c>
      <c r="M9" s="5">
        <f t="shared" si="1"/>
        <v>52.801668777044561</v>
      </c>
      <c r="N9" s="6">
        <f>100*J9*K9*(L9*0.00000001^3)^2*M9/INDEX('Reference-aQuartz'!$H$4:$H$17,MATCH($B$1,'Reference-aQuartz'!$A$4:$A$17,0))</f>
        <v>17.119103422979233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9</v>
      </c>
      <c r="C10" s="18">
        <f t="shared" si="0"/>
        <v>9.0243178807947011</v>
      </c>
      <c r="D10" s="18">
        <f>INDEX(MAC!$H$3:$H$16,MATCH('LA-CB'!$A10,MAC!$A$3:$A$16,0))</f>
        <v>124.77929454143408</v>
      </c>
      <c r="E10" s="18">
        <f t="shared" si="2"/>
        <v>11.260480188832123</v>
      </c>
      <c r="F10" s="39"/>
      <c r="G10" s="39"/>
      <c r="H10" s="25" t="s">
        <v>42</v>
      </c>
      <c r="I10" s="25">
        <v>201096</v>
      </c>
      <c r="J10" s="25">
        <f>0.0000289</f>
        <v>2.8900000000000001E-5</v>
      </c>
      <c r="K10" s="25">
        <v>5.29</v>
      </c>
      <c r="L10" s="25">
        <v>300.92939999999999</v>
      </c>
      <c r="M10" s="5">
        <f t="shared" si="1"/>
        <v>52.801668777044561</v>
      </c>
      <c r="N10" s="6">
        <f>100*J10*K10*(L10*0.00000001^3)^2*M10/INDEX('Reference-aQuartz'!$H$4:$H$17,MATCH($B$1,'Reference-aQuartz'!$A$4:$A$17,0))</f>
        <v>1.2611723590340973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2.81</v>
      </c>
      <c r="C11" s="18">
        <f t="shared" si="0"/>
        <v>2.8175925827814572</v>
      </c>
      <c r="D11" s="18">
        <f>INDEX(MAC!$H$3:$H$16,MATCH('LA-CB'!$A11,MAC!$A$3:$A$16,0))</f>
        <v>122.32505440840811</v>
      </c>
      <c r="E11" s="18">
        <f t="shared" ref="E11:E18" si="3">C11*D11/100</f>
        <v>3.4466216598946886</v>
      </c>
      <c r="F11" s="39"/>
      <c r="G11" s="39"/>
      <c r="H11" s="26" t="s">
        <v>51</v>
      </c>
      <c r="I11" s="25">
        <v>16905</v>
      </c>
      <c r="J11" s="25">
        <f>0.00005163</f>
        <v>5.1629999999999999E-5</v>
      </c>
      <c r="K11" s="25">
        <v>3.31</v>
      </c>
      <c r="L11" s="25">
        <v>447.36579999999998</v>
      </c>
      <c r="M11" s="5">
        <f t="shared" si="1"/>
        <v>52.801668777044561</v>
      </c>
      <c r="N11" s="6">
        <f>100*J11*K11*(L11*0.00000001^3)^2*M11/INDEX('Reference-aQuartz'!$H$4:$H$17,MATCH($B$1,'Reference-aQuartz'!$A$4:$A$17,0))</f>
        <v>3.1156407109791768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0.43</v>
      </c>
      <c r="C12" s="18">
        <f t="shared" si="0"/>
        <v>0.43116185430463577</v>
      </c>
      <c r="D12" s="18">
        <f>INDEX(MAC!$H$3:$H$16,MATCH('LA-CB'!$A12,MAC!$A$3:$A$16,0))</f>
        <v>44.261072668681777</v>
      </c>
      <c r="E12" s="18">
        <f t="shared" si="3"/>
        <v>0.19083686165341068</v>
      </c>
      <c r="F12" s="39"/>
      <c r="G12" s="39"/>
      <c r="H12" s="25"/>
      <c r="I12" s="25"/>
      <c r="J12" s="25"/>
      <c r="K12" s="25"/>
      <c r="L12" s="25"/>
      <c r="M12" s="5"/>
      <c r="N12" s="6">
        <f>100*J12*K12*(L12*0.00000001^3)^2*M12/INDEX('Reference-aQuartz'!$H$4:$H$17,MATCH($B$1,'Reference-aQuartz'!$A$4:$A$17,0))</f>
        <v>0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0.03</v>
      </c>
      <c r="C13" s="18">
        <f t="shared" si="0"/>
        <v>3.0081059602649004E-2</v>
      </c>
      <c r="D13" s="18">
        <f>INDEX(MAC!$H$3:$H$16,MATCH('LA-CB'!$A13,MAC!$A$3:$A$16,0))</f>
        <v>97.328178229861322</v>
      </c>
      <c r="E13" s="18">
        <f t="shared" si="3"/>
        <v>2.9277347303497035E-2</v>
      </c>
      <c r="F13" s="39"/>
      <c r="G13" s="39"/>
      <c r="H13" s="25"/>
      <c r="I13" s="25"/>
      <c r="J13" s="25"/>
      <c r="K13" s="25"/>
      <c r="L13" s="25"/>
      <c r="M13" s="5"/>
      <c r="N13" s="6">
        <f>100*J13*K13*(L13*0.00000001^3)^2*M13/INDEX('Reference-aQuartz'!$H$4:$H$17,MATCH($B$1,'Reference-aQuartz'!$A$4:$A$17,0))</f>
        <v>0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1.06</v>
      </c>
      <c r="C14" s="18">
        <f t="shared" si="0"/>
        <v>1.0628641059602648</v>
      </c>
      <c r="D14" s="18">
        <f>INDEX(MAC!$H$3:$H$16,MATCH('LA-CB'!$A14,MAC!$A$3:$A$16,0))</f>
        <v>19.10926020222594</v>
      </c>
      <c r="E14" s="18">
        <f t="shared" si="3"/>
        <v>0.20310546760400944</v>
      </c>
      <c r="F14" s="39"/>
      <c r="G14" s="39"/>
      <c r="H14" s="25"/>
      <c r="I14" s="25"/>
      <c r="J14" s="25"/>
      <c r="K14" s="25"/>
      <c r="L14" s="25"/>
      <c r="M14" s="5"/>
      <c r="N14" s="6">
        <f>100*J14*K14*(L14*0.00000001^3)^2*M14/INDEX('Reference-aQuartz'!$H$4:$H$17,MATCH($B$1,'Reference-aQuartz'!$A$4:$A$17,0))</f>
        <v>0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0.63</v>
      </c>
      <c r="C15" s="18">
        <f t="shared" si="0"/>
        <v>0.6317022516556291</v>
      </c>
      <c r="D15" s="18">
        <f>INDEX(MAC!$H$3:$H$16,MATCH('LA-CB'!$A15,MAC!$A$3:$A$16,0))</f>
        <v>124.47726788956365</v>
      </c>
      <c r="E15" s="18">
        <f t="shared" si="3"/>
        <v>0.7863257040577829</v>
      </c>
      <c r="F15" s="39"/>
      <c r="G15" s="39"/>
      <c r="H15" s="25"/>
      <c r="I15" s="25"/>
      <c r="J15" s="25"/>
      <c r="K15" s="25"/>
      <c r="L15" s="25"/>
      <c r="M15" s="5"/>
      <c r="N15" s="6">
        <f>100*J15*K15*(L15*0.00000001^3)^2*M15/INDEX('Reference-aQuartz'!$H$4:$H$17,MATCH($B$1,'Reference-aQuartz'!$A$4:$A$17,0))</f>
        <v>0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0.15</v>
      </c>
      <c r="C16" s="18">
        <f t="shared" si="0"/>
        <v>0.15040529801324504</v>
      </c>
      <c r="D16" s="18">
        <f>INDEX(MAC!$H$3:$H$16,MATCH('LA-CB'!$A16,MAC!$A$3:$A$16,0))</f>
        <v>39.431437267071992</v>
      </c>
      <c r="E16" s="18">
        <f t="shared" si="3"/>
        <v>5.9306970732445397E-2</v>
      </c>
      <c r="F16" s="39"/>
      <c r="G16" s="39"/>
      <c r="H16" s="25"/>
      <c r="I16" s="25"/>
      <c r="J16" s="25"/>
      <c r="K16" s="25"/>
      <c r="L16" s="25"/>
      <c r="M16" s="5"/>
      <c r="N16" s="6">
        <f>100*J16*K16*(L16*0.00000001^3)^2*M16/INDEX('Reference-aQuartz'!$H$4:$H$17,MATCH($B$1,'Reference-aQuartz'!$A$4:$A$17,0))</f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0.14499999999999999</v>
      </c>
      <c r="C17" s="18">
        <f t="shared" si="0"/>
        <v>0.1453917880794702</v>
      </c>
      <c r="D17" s="18">
        <f>INDEX(MAC!$H$3:$H$16,MATCH('LA-CB'!$A17,MAC!$A$3:$A$16,0))</f>
        <v>197.69998688868492</v>
      </c>
      <c r="E17" s="18">
        <f t="shared" si="3"/>
        <v>0.28743954597033716</v>
      </c>
      <c r="H17" s="21"/>
      <c r="I17" s="21"/>
      <c r="J17" s="21"/>
      <c r="K17" s="21"/>
      <c r="L17" s="21"/>
      <c r="M17" s="5"/>
      <c r="N17" s="37">
        <f>100*J17*K17*(L17*0.00000001^3)^2*M17/INDEX('Reference-aQuartz'!$H$4:$H$17,MATCH($B$1,'Reference-aQuartz'!$A$4:$A$17,0))</f>
        <v>0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5.37</v>
      </c>
      <c r="C18" s="18">
        <f>B18</f>
        <v>5.37</v>
      </c>
      <c r="D18" s="18">
        <f>INDEX(MAC!$H$3:$H$16,MATCH('LA-CB'!$A18,MAC!$A$3:$A$16,0))</f>
        <v>9.592279079279237</v>
      </c>
      <c r="E18" s="18">
        <f t="shared" si="3"/>
        <v>0.5151053865572951</v>
      </c>
      <c r="H18" s="104" t="s">
        <v>7</v>
      </c>
      <c r="I18" s="105"/>
      <c r="J18" s="105"/>
      <c r="K18" s="105"/>
      <c r="L18" s="105"/>
      <c r="M18" s="106"/>
      <c r="N18" s="37">
        <f>SUM(N6:N17)</f>
        <v>79.952434179754746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25" t="s">
        <v>7</v>
      </c>
      <c r="B19" s="40">
        <f>SUM(B6:B17)</f>
        <v>94.375</v>
      </c>
      <c r="C19" s="40">
        <f>SUM(C6:C18)</f>
        <v>99.999999999999972</v>
      </c>
      <c r="D19" s="25" t="s">
        <v>29</v>
      </c>
      <c r="E19" s="41">
        <f>SUM(E6:E18)</f>
        <v>52.801668777044561</v>
      </c>
      <c r="H19" s="107" t="s">
        <v>28</v>
      </c>
      <c r="I19" s="108"/>
      <c r="J19" s="108"/>
      <c r="K19" s="108"/>
      <c r="L19" s="108"/>
      <c r="M19" s="109"/>
      <c r="N19" s="37">
        <f>100-N18</f>
        <v>20.047565820245254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44736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0.33</v>
      </c>
      <c r="D23" s="52"/>
      <c r="E23" s="52">
        <v>0.22</v>
      </c>
      <c r="F23" s="53"/>
    </row>
    <row r="24" spans="1:48" x14ac:dyDescent="0.25">
      <c r="H24" s="46" t="s">
        <v>6</v>
      </c>
      <c r="I24" s="28">
        <v>4.45</v>
      </c>
      <c r="J24" s="33"/>
    </row>
    <row r="25" spans="1:48" x14ac:dyDescent="0.25">
      <c r="A25" s="25" t="s">
        <v>8</v>
      </c>
      <c r="B25" s="25" t="s">
        <v>30</v>
      </c>
      <c r="C25" s="25" t="s">
        <v>31</v>
      </c>
      <c r="D25" s="25" t="s">
        <v>68</v>
      </c>
      <c r="E25" s="25" t="s">
        <v>69</v>
      </c>
      <c r="F25" s="25" t="s">
        <v>74</v>
      </c>
      <c r="G25" s="54"/>
      <c r="H25" s="25" t="s">
        <v>9</v>
      </c>
      <c r="I25" s="25" t="s">
        <v>86</v>
      </c>
      <c r="J25" s="25" t="s">
        <v>2</v>
      </c>
      <c r="K25" s="25" t="s">
        <v>3</v>
      </c>
      <c r="L25" s="25" t="s">
        <v>4</v>
      </c>
      <c r="M25" s="25" t="s">
        <v>5</v>
      </c>
      <c r="N25" s="5" t="s">
        <v>15</v>
      </c>
      <c r="O25" s="5" t="s">
        <v>15</v>
      </c>
      <c r="P25" s="5" t="s">
        <v>15</v>
      </c>
      <c r="Q25" s="88" t="s">
        <v>96</v>
      </c>
      <c r="R25" s="89"/>
      <c r="S25" s="88" t="s">
        <v>122</v>
      </c>
      <c r="T25" s="88" t="s">
        <v>123</v>
      </c>
      <c r="U25" s="88" t="s">
        <v>82</v>
      </c>
      <c r="V25" s="36" t="s">
        <v>83</v>
      </c>
    </row>
    <row r="26" spans="1:48" x14ac:dyDescent="0.25">
      <c r="A26" s="25" t="s">
        <v>11</v>
      </c>
      <c r="B26" s="25" t="s">
        <v>93</v>
      </c>
      <c r="C26" s="25" t="s">
        <v>93</v>
      </c>
      <c r="D26" s="25" t="s">
        <v>13</v>
      </c>
      <c r="E26" s="25" t="s">
        <v>13</v>
      </c>
      <c r="F26" s="25" t="s">
        <v>13</v>
      </c>
      <c r="G26" s="54"/>
      <c r="H26" s="25" t="s">
        <v>11</v>
      </c>
      <c r="I26" s="25" t="s">
        <v>11</v>
      </c>
      <c r="J26" s="25" t="s">
        <v>11</v>
      </c>
      <c r="K26" s="25" t="s">
        <v>16</v>
      </c>
      <c r="L26" s="25" t="s">
        <v>19</v>
      </c>
      <c r="M26" s="25" t="s">
        <v>13</v>
      </c>
      <c r="N26" s="5" t="s">
        <v>75</v>
      </c>
      <c r="O26" s="88" t="s">
        <v>113</v>
      </c>
      <c r="P26" s="68" t="s">
        <v>76</v>
      </c>
      <c r="Q26" s="88" t="s">
        <v>76</v>
      </c>
      <c r="R26" s="89"/>
      <c r="S26" s="88" t="s">
        <v>76</v>
      </c>
      <c r="T26" s="88" t="s">
        <v>76</v>
      </c>
      <c r="U26" s="88" t="s">
        <v>11</v>
      </c>
      <c r="V26" s="36" t="s">
        <v>11</v>
      </c>
    </row>
    <row r="27" spans="1:48" x14ac:dyDescent="0.25">
      <c r="A27" s="1" t="s">
        <v>53</v>
      </c>
      <c r="B27" s="12">
        <f>0.65*'LA-Ref 0.5'!B6+0.35*B6</f>
        <v>34.67</v>
      </c>
      <c r="C27" s="18">
        <f>B27*(100-B$39)/B$41</f>
        <v>34.668195004112917</v>
      </c>
      <c r="D27" s="18">
        <f>INDEX(MAC!$H$3:$H$16,MATCH($A27,MAC!$A$3:$A$16,0))</f>
        <v>35.900659077291785</v>
      </c>
      <c r="E27" s="18">
        <f>C27*D27/100</f>
        <v>12.446110496677282</v>
      </c>
      <c r="F27" s="21"/>
      <c r="G27" s="55"/>
      <c r="H27" s="85" t="s">
        <v>34</v>
      </c>
      <c r="I27" s="85"/>
      <c r="J27" s="65">
        <v>1.6E-7</v>
      </c>
      <c r="K27" s="68">
        <f>'LA-Ref 0.5'!K6</f>
        <v>3.15</v>
      </c>
      <c r="L27" s="81">
        <f>'LA-Ref 0.5'!L6</f>
        <v>2166.0790000000002</v>
      </c>
      <c r="M27" s="5">
        <f>$F$41</f>
        <v>58.66056581794038</v>
      </c>
      <c r="N27" s="6">
        <f>100*J27*K27*(L27*0.00000001^3)^2*M27/INDEX('Reference-aQuartz'!$H$4:$H$17,MATCH($B$22,'Reference-aQuartz'!$A$4:$A$17,0))</f>
        <v>0.16440197310617885</v>
      </c>
      <c r="O27" s="32">
        <f>P27*100/65</f>
        <v>0.30856985721467411</v>
      </c>
      <c r="P27" s="32">
        <f t="shared" ref="P27:P40" si="4">N27*(1+$E$23)</f>
        <v>0.2005704071895382</v>
      </c>
      <c r="Q27" s="69"/>
      <c r="R27" s="110" t="s">
        <v>79</v>
      </c>
      <c r="S27" s="100">
        <f>('LA-Ref 0.5'!P6+'LA-Ref 0.5'!P7)*0.65</f>
        <v>42.364846282241693</v>
      </c>
      <c r="T27" s="100">
        <f>P27+P28</f>
        <v>0.2005704071895382</v>
      </c>
      <c r="U27" s="102">
        <f>(S27-T27)/S27</f>
        <v>0.99526564062446243</v>
      </c>
      <c r="V27" s="30">
        <f>(U27*S27+U29*S29+U30*S30+U31*S31)/S32</f>
        <v>0.96099580710075594</v>
      </c>
    </row>
    <row r="28" spans="1:48" x14ac:dyDescent="0.25">
      <c r="A28" s="1" t="s">
        <v>54</v>
      </c>
      <c r="B28" s="12">
        <f>0.65*'LA-Ref 0.5'!B7+0.35*B7</f>
        <v>7.3</v>
      </c>
      <c r="C28" s="18">
        <f t="shared" ref="C28:C38" si="5">B28*(100-B$39)/B$41</f>
        <v>7.2996199460635793</v>
      </c>
      <c r="D28" s="18">
        <f>INDEX(MAC!$H$3:$H$16,MATCH($A28,MAC!$A$3:$A$16,0))</f>
        <v>31.664851266660783</v>
      </c>
      <c r="E28" s="18">
        <f t="shared" ref="E28:E39" si="6">C28*D28/100</f>
        <v>2.3114137989525365</v>
      </c>
      <c r="F28" s="21"/>
      <c r="G28" s="55"/>
      <c r="H28" s="85" t="s">
        <v>35</v>
      </c>
      <c r="I28" s="85">
        <v>94742</v>
      </c>
      <c r="J28" s="25">
        <v>0</v>
      </c>
      <c r="K28" s="81">
        <f>'LA-Ref 0.5'!K7</f>
        <v>3.16</v>
      </c>
      <c r="L28" s="81">
        <f>'LA-Ref 0.5'!L7</f>
        <v>4316.1279999999997</v>
      </c>
      <c r="M28" s="5">
        <f t="shared" ref="M28:M40" si="7">$F$41</f>
        <v>58.66056581794038</v>
      </c>
      <c r="N28" s="6">
        <f>100*J28*K28*(L28*0.00000001^3)^2*M28/INDEX('Reference-aQuartz'!$H$4:$H$17,MATCH($B$22,'Reference-aQuartz'!$A$4:$A$17,0))</f>
        <v>0</v>
      </c>
      <c r="O28" s="32">
        <f t="shared" ref="O28:O40" si="8">P28*100/65</f>
        <v>0</v>
      </c>
      <c r="P28" s="32">
        <f t="shared" si="4"/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0.5'!B8+0.35*B8</f>
        <v>3.8975</v>
      </c>
      <c r="C29" s="18">
        <f t="shared" si="5"/>
        <v>3.8972970876414794</v>
      </c>
      <c r="D29" s="18">
        <f>INDEX(MAC!$H$3:$H$16,MATCH($A29,MAC!$A$3:$A$16,0))</f>
        <v>214.68463619455559</v>
      </c>
      <c r="E29" s="18">
        <f t="shared" si="6"/>
        <v>8.366898074024121</v>
      </c>
      <c r="F29" s="21"/>
      <c r="G29" s="55"/>
      <c r="H29" s="85" t="s">
        <v>36</v>
      </c>
      <c r="I29" s="85">
        <v>81096</v>
      </c>
      <c r="J29" s="65">
        <v>6.1680000000000006E-5</v>
      </c>
      <c r="K29" s="81">
        <f>'LA-Ref 0.5'!K8</f>
        <v>3.29</v>
      </c>
      <c r="L29" s="81">
        <f>'LA-Ref 0.5'!L8</f>
        <v>347.22930000000002</v>
      </c>
      <c r="M29" s="5">
        <f t="shared" si="7"/>
        <v>58.66056581794038</v>
      </c>
      <c r="N29" s="6">
        <f>100*J29*K29*(L29*0.00000001^3)^2*M29/INDEX('Reference-aQuartz'!$H$4:$H$17,MATCH($B$22,'Reference-aQuartz'!$A$4:$A$17,0))</f>
        <v>1.7009866215165645</v>
      </c>
      <c r="O29" s="32">
        <f t="shared" si="8"/>
        <v>3.1926210434618594</v>
      </c>
      <c r="P29" s="32">
        <f t="shared" si="4"/>
        <v>2.0752036782502086</v>
      </c>
      <c r="Q29" s="69"/>
      <c r="R29" s="89" t="s">
        <v>80</v>
      </c>
      <c r="S29" s="69">
        <f>'LA-Ref 0.5'!P8*0.65</f>
        <v>6.6266164042793037</v>
      </c>
      <c r="T29" s="69">
        <f>P29</f>
        <v>2.0752036782502086</v>
      </c>
      <c r="U29" s="34">
        <f>(S29-T29)/S29</f>
        <v>0.68683811591839039</v>
      </c>
    </row>
    <row r="30" spans="1:48" x14ac:dyDescent="0.25">
      <c r="A30" s="1" t="s">
        <v>0</v>
      </c>
      <c r="B30" s="12">
        <f>0.65*'LA-Ref 0.5'!B9+0.35*B9</f>
        <v>1.07</v>
      </c>
      <c r="C30" s="18">
        <f t="shared" si="5"/>
        <v>1.0699442934641137</v>
      </c>
      <c r="D30" s="18">
        <f>INDEX(MAC!$H$3:$H$16,MATCH($A30,MAC!$A$3:$A$16,0))</f>
        <v>28.686693628423974</v>
      </c>
      <c r="E30" s="18">
        <f t="shared" si="6"/>
        <v>0.30693164146085583</v>
      </c>
      <c r="F30" s="21"/>
      <c r="G30" s="55"/>
      <c r="H30" s="85" t="s">
        <v>37</v>
      </c>
      <c r="I30" s="85">
        <v>1841</v>
      </c>
      <c r="J30" s="25">
        <v>0</v>
      </c>
      <c r="K30" s="81">
        <f>'LA-Ref 0.5'!K9</f>
        <v>3.04</v>
      </c>
      <c r="L30" s="81">
        <f>'LA-Ref 0.5'!L9</f>
        <v>3541.5859999999998</v>
      </c>
      <c r="M30" s="5">
        <f t="shared" si="7"/>
        <v>58.66056581794038</v>
      </c>
      <c r="N30" s="6">
        <f>100*J30*K30*(L30*0.00000001^3)^2*M30/INDEX('Reference-aQuartz'!$H$4:$H$17,MATCH($B$22,'Reference-aQuartz'!$A$4:$A$17,0))</f>
        <v>0</v>
      </c>
      <c r="O30" s="32">
        <f t="shared" si="8"/>
        <v>0</v>
      </c>
      <c r="P30" s="32">
        <f t="shared" si="4"/>
        <v>0</v>
      </c>
      <c r="Q30" s="69"/>
      <c r="R30" s="89" t="s">
        <v>37</v>
      </c>
      <c r="S30" s="69">
        <f>'LA-Ref 0.5'!P9*0.65</f>
        <v>2.3605659551948133</v>
      </c>
      <c r="T30" s="69">
        <f>P30</f>
        <v>0</v>
      </c>
      <c r="U30" s="34">
        <f t="shared" ref="U30:U31" si="9">(S30-T30)/S30</f>
        <v>1</v>
      </c>
    </row>
    <row r="31" spans="1:48" x14ac:dyDescent="0.25">
      <c r="A31" s="1" t="s">
        <v>1</v>
      </c>
      <c r="B31" s="12">
        <f>0.65*'LA-Ref 0.5'!B10+0.35*B10</f>
        <v>44.36</v>
      </c>
      <c r="C31" s="18">
        <f t="shared" si="5"/>
        <v>44.357690521558958</v>
      </c>
      <c r="D31" s="18">
        <f>INDEX(MAC!$H$3:$H$16,MATCH($A31,MAC!$A$3:$A$16,0))</f>
        <v>124.77929454143408</v>
      </c>
      <c r="E31" s="18">
        <f t="shared" si="6"/>
        <v>55.349213307673843</v>
      </c>
      <c r="F31" s="21"/>
      <c r="G31" s="55"/>
      <c r="H31" s="85" t="s">
        <v>38</v>
      </c>
      <c r="I31" s="85">
        <v>98836</v>
      </c>
      <c r="J31" s="25">
        <v>0</v>
      </c>
      <c r="K31" s="81">
        <f>'LA-Ref 0.5'!K10</f>
        <v>3.75</v>
      </c>
      <c r="L31" s="81">
        <f>'LA-Ref 0.5'!L10</f>
        <v>430.91660000000002</v>
      </c>
      <c r="M31" s="5">
        <f t="shared" si="7"/>
        <v>58.66056581794038</v>
      </c>
      <c r="N31" s="6">
        <f>100*J31*K31*(L31*0.00000001^3)^2*M31/INDEX('Reference-aQuartz'!$H$4:$H$17,MATCH($B$22,'Reference-aQuartz'!$A$4:$A$17,0))</f>
        <v>0</v>
      </c>
      <c r="O31" s="32">
        <f t="shared" si="8"/>
        <v>0</v>
      </c>
      <c r="P31" s="32">
        <f t="shared" si="4"/>
        <v>0</v>
      </c>
      <c r="Q31" s="69"/>
      <c r="R31" s="89" t="s">
        <v>81</v>
      </c>
      <c r="S31" s="69">
        <f>'LA-Ref 0.5'!P10*0.65</f>
        <v>6.9948801462326609</v>
      </c>
      <c r="T31" s="69">
        <f>P31</f>
        <v>0</v>
      </c>
      <c r="U31" s="34">
        <f t="shared" si="9"/>
        <v>1</v>
      </c>
    </row>
    <row r="32" spans="1:48" x14ac:dyDescent="0.25">
      <c r="A32" s="1" t="s">
        <v>56</v>
      </c>
      <c r="B32" s="12">
        <f>0.65*'LA-Ref 0.5'!B11+0.35*B11</f>
        <v>1.2304999999999999</v>
      </c>
      <c r="C32" s="18">
        <f t="shared" si="5"/>
        <v>1.2304359374837306</v>
      </c>
      <c r="D32" s="18">
        <f>INDEX(MAC!$H$3:$H$16,MATCH($A32,MAC!$A$3:$A$16,0))</f>
        <v>122.32505440840811</v>
      </c>
      <c r="E32" s="18">
        <f t="shared" si="6"/>
        <v>1.5051314299875798</v>
      </c>
      <c r="F32" s="21"/>
      <c r="G32" s="55"/>
      <c r="H32" s="85" t="s">
        <v>40</v>
      </c>
      <c r="I32" s="85">
        <v>202220</v>
      </c>
      <c r="J32" s="25">
        <v>1.9024340000000001E-2</v>
      </c>
      <c r="K32" s="68">
        <v>2.2400000000000002</v>
      </c>
      <c r="L32" s="68">
        <v>54.87191</v>
      </c>
      <c r="M32" s="5">
        <f t="shared" si="7"/>
        <v>58.66056581794038</v>
      </c>
      <c r="N32" s="6">
        <f>100*J32*K32*(L32*0.00000001^3)^2*M32/INDEX('Reference-aQuartz'!$H$4:$H$17,MATCH($B$22,'Reference-aQuartz'!$A$4:$A$17,0))</f>
        <v>8.920427699856349</v>
      </c>
      <c r="O32" s="32">
        <f t="shared" si="8"/>
        <v>16.742956605884224</v>
      </c>
      <c r="P32" s="32">
        <f t="shared" si="4"/>
        <v>10.882921793824746</v>
      </c>
      <c r="Q32" s="69">
        <v>11.7</v>
      </c>
      <c r="R32" s="89" t="s">
        <v>84</v>
      </c>
      <c r="S32" s="69">
        <f>SUM(S27:S31)</f>
        <v>58.346908787948472</v>
      </c>
      <c r="T32" s="69">
        <f>SUM(T27:T31)</f>
        <v>2.2757740854397466</v>
      </c>
    </row>
    <row r="33" spans="1:22" x14ac:dyDescent="0.25">
      <c r="A33" s="1" t="s">
        <v>57</v>
      </c>
      <c r="B33" s="12">
        <f>0.65*'LA-Ref 0.5'!B12+0.35*B12</f>
        <v>2.1915000000000004</v>
      </c>
      <c r="C33" s="18">
        <f t="shared" si="5"/>
        <v>2.1913859057257992</v>
      </c>
      <c r="D33" s="18">
        <f>INDEX(MAC!$H$3:$H$16,MATCH($A33,MAC!$A$3:$A$16,0))</f>
        <v>44.261072668681777</v>
      </c>
      <c r="E33" s="18">
        <f t="shared" si="6"/>
        <v>0.9699309081845463</v>
      </c>
      <c r="F33" s="21"/>
      <c r="G33" s="55"/>
      <c r="H33" s="85" t="s">
        <v>25</v>
      </c>
      <c r="I33" s="85">
        <v>73446</v>
      </c>
      <c r="J33" s="65">
        <v>7.3330000000000004E-5</v>
      </c>
      <c r="K33" s="68">
        <v>2.72</v>
      </c>
      <c r="L33" s="68">
        <v>367.12299999999999</v>
      </c>
      <c r="M33" s="5">
        <f t="shared" si="7"/>
        <v>58.66056581794038</v>
      </c>
      <c r="N33" s="6">
        <f>100*J33*K33*(L33*0.00000001^3)^2*M33/INDEX('Reference-aQuartz'!$H$4:$H$17,MATCH($B$22,'Reference-aQuartz'!$A$4:$A$17,0))</f>
        <v>1.8689672077561386</v>
      </c>
      <c r="O33" s="32">
        <f t="shared" si="8"/>
        <v>3.5079076822499826</v>
      </c>
      <c r="P33" s="32">
        <f t="shared" si="4"/>
        <v>2.2801399934624889</v>
      </c>
      <c r="Q33" s="69">
        <v>3.2</v>
      </c>
    </row>
    <row r="34" spans="1:22" x14ac:dyDescent="0.25">
      <c r="A34" s="1" t="s">
        <v>14</v>
      </c>
      <c r="B34" s="12">
        <f>0.65*'LA-Ref 0.5'!B13+0.35*B13</f>
        <v>9.5000000000000001E-2</v>
      </c>
      <c r="C34" s="18">
        <f t="shared" si="5"/>
        <v>9.4995054092608222E-2</v>
      </c>
      <c r="D34" s="18">
        <f>INDEX(MAC!$H$3:$H$16,MATCH($A34,MAC!$A$3:$A$16,0))</f>
        <v>97.328178229861322</v>
      </c>
      <c r="E34" s="18">
        <f t="shared" si="6"/>
        <v>9.24569555568069E-2</v>
      </c>
      <c r="F34" s="21"/>
      <c r="G34" s="55"/>
      <c r="H34" s="85" t="s">
        <v>21</v>
      </c>
      <c r="I34" s="85">
        <v>174</v>
      </c>
      <c r="J34" s="25">
        <v>3.6997100000000002E-3</v>
      </c>
      <c r="K34" s="68">
        <v>2.65</v>
      </c>
      <c r="L34" s="68">
        <v>112.9432</v>
      </c>
      <c r="M34" s="5">
        <f t="shared" si="7"/>
        <v>58.66056581794038</v>
      </c>
      <c r="N34" s="6">
        <f>100*J34*K34*(L34*0.00000001^3)^2*M34/INDEX('Reference-aQuartz'!$H$4:$H$17,MATCH($B$22,'Reference-aQuartz'!$A$4:$A$17,0))</f>
        <v>8.6948408946537796</v>
      </c>
      <c r="O34" s="32">
        <f t="shared" si="8"/>
        <v>16.319547525350171</v>
      </c>
      <c r="P34" s="32">
        <f t="shared" si="4"/>
        <v>10.607705891477611</v>
      </c>
      <c r="Q34" s="69"/>
    </row>
    <row r="35" spans="1:22" x14ac:dyDescent="0.25">
      <c r="A35" s="1" t="s">
        <v>58</v>
      </c>
      <c r="B35" s="12">
        <f>0.65*'LA-Ref 0.5'!B14+0.35*B14</f>
        <v>0.58550000000000002</v>
      </c>
      <c r="C35" s="18">
        <f t="shared" si="5"/>
        <v>0.58546951759181176</v>
      </c>
      <c r="D35" s="18">
        <f>INDEX(MAC!$H$3:$H$16,MATCH($A35,MAC!$A$3:$A$16,0))</f>
        <v>19.10926020222594</v>
      </c>
      <c r="E35" s="18">
        <f t="shared" si="6"/>
        <v>0.11187889352133629</v>
      </c>
      <c r="F35" s="21"/>
      <c r="G35" s="55"/>
      <c r="H35" s="85" t="s">
        <v>87</v>
      </c>
      <c r="I35" s="85">
        <v>155395</v>
      </c>
      <c r="J35" s="65">
        <v>5.5899999999999998E-6</v>
      </c>
      <c r="K35" s="25">
        <v>1.79</v>
      </c>
      <c r="L35" s="25">
        <v>2329.2570000000001</v>
      </c>
      <c r="M35" s="5">
        <f t="shared" si="7"/>
        <v>58.66056581794038</v>
      </c>
      <c r="N35" s="6">
        <f>100*J35*K35*(L35*0.00000001^3)^2*M35/INDEX('Reference-aQuartz'!$H$4:$H$17,MATCH($B$22,'Reference-aQuartz'!$A$4:$A$17,0))</f>
        <v>3.7742230510157904</v>
      </c>
      <c r="O35" s="32">
        <f t="shared" si="8"/>
        <v>7.0839263419065608</v>
      </c>
      <c r="P35" s="32">
        <f t="shared" si="4"/>
        <v>4.604552122239264</v>
      </c>
      <c r="Q35" s="69"/>
    </row>
    <row r="36" spans="1:22" x14ac:dyDescent="0.25">
      <c r="A36" s="1" t="s">
        <v>59</v>
      </c>
      <c r="B36" s="12">
        <f>0.65*'LA-Ref 0.5'!B15+0.35*B15</f>
        <v>0.34399999999999997</v>
      </c>
      <c r="C36" s="18">
        <f t="shared" si="5"/>
        <v>0.34398209060902341</v>
      </c>
      <c r="D36" s="18">
        <f>INDEX(MAC!$H$3:$H$16,MATCH($A36,MAC!$A$3:$A$16,0))</f>
        <v>124.47726788956365</v>
      </c>
      <c r="E36" s="18">
        <f t="shared" si="6"/>
        <v>0.42817950841951563</v>
      </c>
      <c r="F36" s="21"/>
      <c r="G36" s="55"/>
      <c r="H36" s="85" t="s">
        <v>88</v>
      </c>
      <c r="I36" s="85">
        <v>81963</v>
      </c>
      <c r="J36" s="25">
        <v>0</v>
      </c>
      <c r="K36" s="25">
        <v>2.13</v>
      </c>
      <c r="L36" s="25">
        <v>182.72210000000001</v>
      </c>
      <c r="M36" s="5">
        <f t="shared" si="7"/>
        <v>58.66056581794038</v>
      </c>
      <c r="N36" s="6">
        <f>100*J36*K36*(L36*0.00000001^3)^2*M36/INDEX('Reference-aQuartz'!$H$4:$H$17,MATCH($B$22,'Reference-aQuartz'!$A$4:$A$17,0))</f>
        <v>0</v>
      </c>
      <c r="O36" s="32">
        <f t="shared" si="8"/>
        <v>0</v>
      </c>
      <c r="P36" s="32">
        <f t="shared" si="4"/>
        <v>0</v>
      </c>
      <c r="Q36" s="69"/>
    </row>
    <row r="37" spans="1:22" x14ac:dyDescent="0.25">
      <c r="A37" s="1" t="s">
        <v>60</v>
      </c>
      <c r="B37" s="12">
        <f>0.65*'LA-Ref 0.5'!B16+0.35*B16</f>
        <v>0.2215</v>
      </c>
      <c r="C37" s="18">
        <f t="shared" si="5"/>
        <v>0.22148846822644969</v>
      </c>
      <c r="D37" s="18">
        <f>INDEX(MAC!$H$3:$H$16,MATCH($A37,MAC!$A$3:$A$16,0))</f>
        <v>39.431437267071992</v>
      </c>
      <c r="E37" s="18">
        <f t="shared" si="6"/>
        <v>8.7336086402511184E-2</v>
      </c>
      <c r="F37" s="21"/>
      <c r="G37" s="55"/>
      <c r="H37" s="85" t="s">
        <v>89</v>
      </c>
      <c r="I37" s="85">
        <v>59327</v>
      </c>
      <c r="J37" s="65">
        <v>6.4540000000000002E-5</v>
      </c>
      <c r="K37" s="68">
        <v>2.17</v>
      </c>
      <c r="L37" s="68">
        <v>435.49119999999999</v>
      </c>
      <c r="M37" s="5">
        <f t="shared" si="7"/>
        <v>58.66056581794038</v>
      </c>
      <c r="N37" s="6">
        <f>100*J37*K37*(L37*0.00000001^3)^2*M37/INDEX('Reference-aQuartz'!$H$4:$H$17,MATCH($B$22,'Reference-aQuartz'!$A$4:$A$17,0))</f>
        <v>1.8466107836331742</v>
      </c>
      <c r="O37" s="32">
        <f t="shared" si="8"/>
        <v>3.4659463938961119</v>
      </c>
      <c r="P37" s="32">
        <f t="shared" si="4"/>
        <v>2.2528651560324726</v>
      </c>
      <c r="Q37" s="69"/>
    </row>
    <row r="38" spans="1:22" x14ac:dyDescent="0.25">
      <c r="A38" s="19" t="s">
        <v>23</v>
      </c>
      <c r="B38" s="12">
        <f>0.65*'LA-Ref 0.5'!B17+0.35*B17</f>
        <v>7.3499999999999996E-2</v>
      </c>
      <c r="C38" s="18">
        <f t="shared" si="5"/>
        <v>7.3496173429544245E-2</v>
      </c>
      <c r="D38" s="18">
        <f>INDEX(MAC!$H$3:$H$16,MATCH($A38,MAC!$A$3:$A$16,0))</f>
        <v>197.69998688868492</v>
      </c>
      <c r="E38" s="18">
        <f t="shared" si="6"/>
        <v>0.1453019252338941</v>
      </c>
      <c r="F38" s="21"/>
      <c r="G38" s="55"/>
      <c r="H38" s="85" t="s">
        <v>90</v>
      </c>
      <c r="I38" s="85">
        <v>2105252</v>
      </c>
      <c r="J38" s="65">
        <v>2.1600000000000001E-6</v>
      </c>
      <c r="K38" s="68">
        <v>1.81</v>
      </c>
      <c r="L38" s="68">
        <v>1420.902</v>
      </c>
      <c r="M38" s="5">
        <f t="shared" si="7"/>
        <v>58.66056581794038</v>
      </c>
      <c r="N38" s="6">
        <f>100*J38*K38*(L38*0.00000001^3)^2*M38/INDEX('Reference-aQuartz'!$H$4:$H$17,MATCH($B$22,'Reference-aQuartz'!$A$4:$A$17,0))</f>
        <v>0.54876762558297365</v>
      </c>
      <c r="O38" s="32">
        <f t="shared" si="8"/>
        <v>1.0299946203249659</v>
      </c>
      <c r="P38" s="32">
        <f t="shared" si="4"/>
        <v>0.66949650321122789</v>
      </c>
      <c r="Q38" s="69"/>
    </row>
    <row r="39" spans="1:22" x14ac:dyDescent="0.25">
      <c r="A39" s="1" t="s">
        <v>66</v>
      </c>
      <c r="B39" s="12">
        <f>0.65*'LA-Ref 0.5'!B18+0.35*B18</f>
        <v>3.9660000000000002</v>
      </c>
      <c r="C39" s="18">
        <f>B39</f>
        <v>3.9660000000000002</v>
      </c>
      <c r="D39" s="18">
        <f>INDEX(MAC!$H$3:$H$16,MATCH($A39,MAC!$A$3:$A$16,0))</f>
        <v>9.592279079279237</v>
      </c>
      <c r="E39" s="18">
        <f t="shared" si="6"/>
        <v>0.38042978828421453</v>
      </c>
      <c r="F39" s="21"/>
      <c r="G39" s="55"/>
      <c r="H39" s="68" t="s">
        <v>26</v>
      </c>
      <c r="I39" s="68">
        <v>87658</v>
      </c>
      <c r="J39" s="68">
        <v>1.0571E-4</v>
      </c>
      <c r="K39" s="68">
        <v>2.61</v>
      </c>
      <c r="L39" s="68">
        <v>334.26389999999998</v>
      </c>
      <c r="M39" s="5">
        <f t="shared" si="7"/>
        <v>58.66056581794038</v>
      </c>
      <c r="N39" s="6">
        <f>100*J39*K39*(L39*0.00000001^3)^2*M39/INDEX('Reference-aQuartz'!$H$4:$H$17,MATCH($B$22,'Reference-aQuartz'!$A$4:$A$17,0))</f>
        <v>2.1432036357456345</v>
      </c>
      <c r="O39" s="32">
        <f t="shared" si="8"/>
        <v>4.0226283624764214</v>
      </c>
      <c r="P39" s="32">
        <f t="shared" si="4"/>
        <v>2.6147084356096739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68" t="s">
        <v>33</v>
      </c>
      <c r="I40" s="68">
        <v>202423</v>
      </c>
      <c r="J40" s="65">
        <v>7.1970000000000004E-5</v>
      </c>
      <c r="K40" s="68">
        <v>2.58</v>
      </c>
      <c r="L40" s="68">
        <v>359.02260000000001</v>
      </c>
      <c r="M40" s="5">
        <f t="shared" si="7"/>
        <v>58.66056581794038</v>
      </c>
      <c r="N40" s="6">
        <f>100*J40*K40*(L40*0.00000001^3)^2*M40/INDEX('Reference-aQuartz'!$H$4:$H$17,MATCH($B$22,'Reference-aQuartz'!$A$4:$A$17,0))</f>
        <v>1.6639592614325593</v>
      </c>
      <c r="O40" s="32">
        <f t="shared" si="8"/>
        <v>3.12312353684265</v>
      </c>
      <c r="P40" s="32">
        <f t="shared" si="4"/>
        <v>2.0300302989477226</v>
      </c>
    </row>
    <row r="41" spans="1:22" x14ac:dyDescent="0.25">
      <c r="A41" s="25" t="s">
        <v>7</v>
      </c>
      <c r="B41" s="40">
        <f>SUM(B27:B38)</f>
        <v>96.039000000000001</v>
      </c>
      <c r="C41" s="40">
        <f>SUM(C27:C39)</f>
        <v>100.00000000000001</v>
      </c>
      <c r="D41" s="25" t="s">
        <v>29</v>
      </c>
      <c r="E41" s="56">
        <f>SUM(E27:E39)</f>
        <v>82.501212814379073</v>
      </c>
      <c r="F41" s="57">
        <f>E41*(1-C23)+D40*C23</f>
        <v>58.66056581794038</v>
      </c>
      <c r="H41" s="107" t="s">
        <v>7</v>
      </c>
      <c r="I41" s="108"/>
      <c r="J41" s="108"/>
      <c r="K41" s="108"/>
      <c r="L41" s="108"/>
      <c r="M41" s="109"/>
      <c r="N41" s="6">
        <f>SUM(N27:N40)</f>
        <v>31.326388754299145</v>
      </c>
      <c r="O41" s="31">
        <f>SUM(O27:O40)</f>
        <v>58.797221969607612</v>
      </c>
      <c r="P41" s="31">
        <f>SUM(P27:P40)</f>
        <v>38.218194280244944</v>
      </c>
    </row>
    <row r="42" spans="1:22" x14ac:dyDescent="0.25">
      <c r="H42" s="107" t="s">
        <v>28</v>
      </c>
      <c r="I42" s="108"/>
      <c r="J42" s="108"/>
      <c r="K42" s="108"/>
      <c r="L42" s="108"/>
      <c r="M42" s="109"/>
      <c r="N42" s="6">
        <f>100-N41</f>
        <v>68.673611245700855</v>
      </c>
      <c r="O42" s="31">
        <f>100-O41</f>
        <v>41.202778030392388</v>
      </c>
      <c r="P42" s="31">
        <f>100-P41</f>
        <v>61.781805719755056</v>
      </c>
    </row>
    <row r="44" spans="1:22" x14ac:dyDescent="0.25">
      <c r="A44" s="42" t="s">
        <v>32</v>
      </c>
      <c r="B44" s="43">
        <v>44847</v>
      </c>
      <c r="C44" s="47" t="s">
        <v>85</v>
      </c>
      <c r="D44" s="48"/>
      <c r="E44" s="48" t="s">
        <v>77</v>
      </c>
      <c r="F44" s="49"/>
    </row>
    <row r="45" spans="1:22" x14ac:dyDescent="0.25">
      <c r="A45" s="44" t="s">
        <v>78</v>
      </c>
      <c r="B45" s="50"/>
      <c r="C45" s="51">
        <v>0.4</v>
      </c>
      <c r="D45" s="52"/>
      <c r="E45" s="52">
        <v>0.26</v>
      </c>
      <c r="F45" s="53"/>
    </row>
    <row r="46" spans="1:22" x14ac:dyDescent="0.25">
      <c r="H46" s="46" t="s">
        <v>6</v>
      </c>
      <c r="I46" s="28">
        <v>4.3499999999999996</v>
      </c>
      <c r="J46" s="33"/>
    </row>
    <row r="47" spans="1:22" x14ac:dyDescent="0.25">
      <c r="A47" s="25" t="s">
        <v>8</v>
      </c>
      <c r="B47" s="25" t="s">
        <v>30</v>
      </c>
      <c r="C47" s="25" t="s">
        <v>31</v>
      </c>
      <c r="D47" s="25" t="s">
        <v>68</v>
      </c>
      <c r="E47" s="25" t="s">
        <v>69</v>
      </c>
      <c r="F47" s="25" t="s">
        <v>74</v>
      </c>
      <c r="G47" s="54"/>
      <c r="H47" s="25" t="s">
        <v>9</v>
      </c>
      <c r="I47" s="25" t="s">
        <v>86</v>
      </c>
      <c r="J47" s="25" t="s">
        <v>2</v>
      </c>
      <c r="K47" s="25" t="s">
        <v>3</v>
      </c>
      <c r="L47" s="25" t="s">
        <v>4</v>
      </c>
      <c r="M47" s="25" t="s">
        <v>5</v>
      </c>
      <c r="N47" s="5" t="s">
        <v>15</v>
      </c>
      <c r="O47" s="5" t="s">
        <v>15</v>
      </c>
      <c r="P47" s="5" t="s">
        <v>15</v>
      </c>
      <c r="Q47" s="88" t="s">
        <v>96</v>
      </c>
      <c r="R47" s="89"/>
      <c r="S47" s="96" t="s">
        <v>122</v>
      </c>
      <c r="T47" s="96" t="s">
        <v>123</v>
      </c>
      <c r="U47" s="88" t="s">
        <v>82</v>
      </c>
      <c r="V47" s="36" t="s">
        <v>83</v>
      </c>
    </row>
    <row r="48" spans="1:22" x14ac:dyDescent="0.25">
      <c r="A48" s="25" t="s">
        <v>11</v>
      </c>
      <c r="B48" s="25" t="s">
        <v>93</v>
      </c>
      <c r="C48" s="25" t="s">
        <v>93</v>
      </c>
      <c r="D48" s="25" t="s">
        <v>13</v>
      </c>
      <c r="E48" s="25" t="s">
        <v>13</v>
      </c>
      <c r="F48" s="25" t="s">
        <v>13</v>
      </c>
      <c r="G48" s="54"/>
      <c r="H48" s="25" t="s">
        <v>11</v>
      </c>
      <c r="I48" s="25" t="s">
        <v>11</v>
      </c>
      <c r="J48" s="25" t="s">
        <v>11</v>
      </c>
      <c r="K48" s="25" t="s">
        <v>16</v>
      </c>
      <c r="L48" s="25" t="s">
        <v>19</v>
      </c>
      <c r="M48" s="25" t="s">
        <v>13</v>
      </c>
      <c r="N48" s="5" t="s">
        <v>75</v>
      </c>
      <c r="O48" s="88" t="s">
        <v>113</v>
      </c>
      <c r="P48" s="68" t="s">
        <v>76</v>
      </c>
      <c r="Q48" s="88" t="s">
        <v>76</v>
      </c>
      <c r="R48" s="89"/>
      <c r="S48" s="88" t="s">
        <v>76</v>
      </c>
      <c r="T48" s="88" t="s">
        <v>76</v>
      </c>
      <c r="U48" s="88" t="s">
        <v>11</v>
      </c>
      <c r="V48" s="36" t="s">
        <v>11</v>
      </c>
    </row>
    <row r="49" spans="1:22" x14ac:dyDescent="0.25">
      <c r="A49" s="1" t="s">
        <v>53</v>
      </c>
      <c r="B49" s="12">
        <f>0.65*'LA-Ref 0.5'!B6+0.35*B6</f>
        <v>34.67</v>
      </c>
      <c r="C49" s="18">
        <f>B49*(100-B$39)/B$41</f>
        <v>34.668195004112917</v>
      </c>
      <c r="D49" s="18">
        <f>INDEX(MAC!$H$3:$H$16,MATCH($A49,MAC!$A$3:$A$16,0))</f>
        <v>35.900659077291785</v>
      </c>
      <c r="E49" s="18">
        <f>C49*D49/100</f>
        <v>12.446110496677282</v>
      </c>
      <c r="F49" s="21"/>
      <c r="G49" s="55"/>
      <c r="H49" s="85" t="s">
        <v>34</v>
      </c>
      <c r="I49" s="85"/>
      <c r="J49" s="65">
        <v>3.4999999999999998E-7</v>
      </c>
      <c r="K49" s="71">
        <f>'LA-Ref 0.5'!K6</f>
        <v>3.15</v>
      </c>
      <c r="L49" s="81">
        <f>'LA-Ref 0.5'!L6</f>
        <v>2166.0790000000002</v>
      </c>
      <c r="M49" s="5">
        <f>$F$63</f>
        <v>53.603458879301883</v>
      </c>
      <c r="N49" s="6">
        <f>100*J49*K49*(L49*0.00000001^3)^2*M49/INDEX('Reference-aQuartz'!$H$4:$H$17,MATCH($B$44,'Reference-aQuartz'!$A$4:$A$17,0))</f>
        <v>0.34066645731957418</v>
      </c>
      <c r="O49" s="32">
        <f>P49*100/65</f>
        <v>0.6603688249579438</v>
      </c>
      <c r="P49" s="32">
        <f t="shared" ref="P49:P62" si="10">N49*(1+$E$45)</f>
        <v>0.42923973622266348</v>
      </c>
      <c r="Q49" s="69"/>
      <c r="R49" s="110" t="s">
        <v>79</v>
      </c>
      <c r="S49" s="100">
        <f>('LA-Ref 0.5'!P6+'LA-Ref 0.5'!P7)*0.65</f>
        <v>42.364846282241693</v>
      </c>
      <c r="T49" s="100">
        <f>P49+P50</f>
        <v>0.42923973622266348</v>
      </c>
      <c r="U49" s="102">
        <f>(S49-T49)/S49</f>
        <v>0.98986802092085979</v>
      </c>
      <c r="V49" s="30">
        <f>(U49*S49+U51*S51+U52*S52+U53*S53)/S54</f>
        <v>0.97852300232584966</v>
      </c>
    </row>
    <row r="50" spans="1:22" x14ac:dyDescent="0.25">
      <c r="A50" s="1" t="s">
        <v>54</v>
      </c>
      <c r="B50" s="12">
        <f>0.65*'LA-Ref 0.5'!B7+0.35*B7</f>
        <v>7.3</v>
      </c>
      <c r="C50" s="18">
        <f t="shared" ref="C50:C60" si="11">B50*(100-B$39)/B$41</f>
        <v>7.2996199460635793</v>
      </c>
      <c r="D50" s="18">
        <f>INDEX(MAC!$H$3:$H$16,MATCH($A50,MAC!$A$3:$A$16,0))</f>
        <v>31.664851266660783</v>
      </c>
      <c r="E50" s="18">
        <f t="shared" ref="E50:E61" si="12">C50*D50/100</f>
        <v>2.3114137989525365</v>
      </c>
      <c r="F50" s="21"/>
      <c r="G50" s="55"/>
      <c r="H50" s="85" t="s">
        <v>35</v>
      </c>
      <c r="I50" s="85">
        <v>94742</v>
      </c>
      <c r="J50" s="71">
        <v>0</v>
      </c>
      <c r="K50" s="81">
        <f>'LA-Ref 0.5'!K7</f>
        <v>3.16</v>
      </c>
      <c r="L50" s="81">
        <f>'LA-Ref 0.5'!L7</f>
        <v>4316.1279999999997</v>
      </c>
      <c r="M50" s="5">
        <f t="shared" ref="M50:M62" si="13">$F$63</f>
        <v>53.603458879301883</v>
      </c>
      <c r="N50" s="6">
        <f>100*J50*K50*(L50*0.00000001^3)^2*M50/INDEX('Reference-aQuartz'!$H$4:$H$17,MATCH($B$44,'Reference-aQuartz'!$A$4:$A$17,0))</f>
        <v>0</v>
      </c>
      <c r="O50" s="32">
        <f t="shared" ref="O50:O62" si="14">P50*100/65</f>
        <v>0</v>
      </c>
      <c r="P50" s="32">
        <f t="shared" si="10"/>
        <v>0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0.5'!B8+0.35*B8</f>
        <v>3.8975</v>
      </c>
      <c r="C51" s="18">
        <f t="shared" si="11"/>
        <v>3.8972970876414794</v>
      </c>
      <c r="D51" s="18">
        <f>INDEX(MAC!$H$3:$H$16,MATCH($A51,MAC!$A$3:$A$16,0))</f>
        <v>214.68463619455559</v>
      </c>
      <c r="E51" s="18">
        <f t="shared" si="12"/>
        <v>8.366898074024121</v>
      </c>
      <c r="F51" s="21"/>
      <c r="G51" s="55"/>
      <c r="H51" s="85" t="s">
        <v>36</v>
      </c>
      <c r="I51" s="85">
        <v>81096</v>
      </c>
      <c r="J51" s="65">
        <v>2.5029999999999999E-5</v>
      </c>
      <c r="K51" s="81">
        <f>'LA-Ref 0.5'!K8</f>
        <v>3.29</v>
      </c>
      <c r="L51" s="81">
        <f>'LA-Ref 0.5'!L8</f>
        <v>347.22930000000002</v>
      </c>
      <c r="M51" s="5">
        <f t="shared" si="13"/>
        <v>53.603458879301883</v>
      </c>
      <c r="N51" s="6">
        <f>100*J51*K51*(L51*0.00000001^3)^2*M51/INDEX('Reference-aQuartz'!$H$4:$H$17,MATCH($B$44,'Reference-aQuartz'!$A$4:$A$17,0))</f>
        <v>0.65387038738886449</v>
      </c>
      <c r="O51" s="32">
        <f t="shared" si="14"/>
        <v>1.2675025970922604</v>
      </c>
      <c r="P51" s="32">
        <f t="shared" si="10"/>
        <v>0.82387668810996928</v>
      </c>
      <c r="Q51" s="69"/>
      <c r="R51" s="89" t="s">
        <v>80</v>
      </c>
      <c r="S51" s="69">
        <f>'LA-Ref 0.5'!P8*0.65</f>
        <v>6.6266164042793037</v>
      </c>
      <c r="T51" s="69">
        <f>P51</f>
        <v>0.82387668810996928</v>
      </c>
      <c r="U51" s="34">
        <f>(S51-T51)/S51</f>
        <v>0.8756715889608564</v>
      </c>
    </row>
    <row r="52" spans="1:22" x14ac:dyDescent="0.25">
      <c r="A52" s="1" t="s">
        <v>0</v>
      </c>
      <c r="B52" s="12">
        <f>0.65*'LA-Ref 0.5'!B9+0.35*B9</f>
        <v>1.07</v>
      </c>
      <c r="C52" s="18">
        <f t="shared" si="11"/>
        <v>1.0699442934641137</v>
      </c>
      <c r="D52" s="18">
        <f>INDEX(MAC!$H$3:$H$16,MATCH($A52,MAC!$A$3:$A$16,0))</f>
        <v>28.686693628423974</v>
      </c>
      <c r="E52" s="18">
        <f t="shared" si="12"/>
        <v>0.30693164146085583</v>
      </c>
      <c r="F52" s="21"/>
      <c r="G52" s="55"/>
      <c r="H52" s="85" t="s">
        <v>37</v>
      </c>
      <c r="I52" s="85">
        <v>1841</v>
      </c>
      <c r="J52" s="71">
        <v>0</v>
      </c>
      <c r="K52" s="81">
        <f>'LA-Ref 0.5'!K9</f>
        <v>3.04</v>
      </c>
      <c r="L52" s="81">
        <f>'LA-Ref 0.5'!L9</f>
        <v>3541.5859999999998</v>
      </c>
      <c r="M52" s="5">
        <f t="shared" si="13"/>
        <v>53.603458879301883</v>
      </c>
      <c r="N52" s="6">
        <f>100*J52*K52*(L52*0.00000001^3)^2*M52/INDEX('Reference-aQuartz'!$H$4:$H$17,MATCH($B$44,'Reference-aQuartz'!$A$4:$A$17,0))</f>
        <v>0</v>
      </c>
      <c r="O52" s="32">
        <f t="shared" si="14"/>
        <v>0</v>
      </c>
      <c r="P52" s="32">
        <f t="shared" si="10"/>
        <v>0</v>
      </c>
      <c r="Q52" s="69"/>
      <c r="R52" s="89" t="s">
        <v>37</v>
      </c>
      <c r="S52" s="69">
        <f>'LA-Ref 0.5'!P9*0.65</f>
        <v>2.3605659551948133</v>
      </c>
      <c r="T52" s="69">
        <f>P52</f>
        <v>0</v>
      </c>
      <c r="U52" s="34">
        <f t="shared" ref="U52:U53" si="15">(S52-T52)/S52</f>
        <v>1</v>
      </c>
    </row>
    <row r="53" spans="1:22" x14ac:dyDescent="0.25">
      <c r="A53" s="1" t="s">
        <v>1</v>
      </c>
      <c r="B53" s="12">
        <f>0.65*'LA-Ref 0.5'!B10+0.35*B10</f>
        <v>44.36</v>
      </c>
      <c r="C53" s="18">
        <f t="shared" si="11"/>
        <v>44.357690521558958</v>
      </c>
      <c r="D53" s="18">
        <f>INDEX(MAC!$H$3:$H$16,MATCH($A53,MAC!$A$3:$A$16,0))</f>
        <v>124.77929454143408</v>
      </c>
      <c r="E53" s="18">
        <f t="shared" si="12"/>
        <v>55.349213307673843</v>
      </c>
      <c r="F53" s="21"/>
      <c r="G53" s="55"/>
      <c r="H53" s="85" t="s">
        <v>38</v>
      </c>
      <c r="I53" s="85">
        <v>98836</v>
      </c>
      <c r="J53" s="71">
        <v>0</v>
      </c>
      <c r="K53" s="81">
        <f>'LA-Ref 0.5'!K10</f>
        <v>3.75</v>
      </c>
      <c r="L53" s="81">
        <f>'LA-Ref 0.5'!L10</f>
        <v>430.91660000000002</v>
      </c>
      <c r="M53" s="5">
        <f t="shared" si="13"/>
        <v>53.603458879301883</v>
      </c>
      <c r="N53" s="6">
        <f>100*J53*K53*(L53*0.00000001^3)^2*M53/INDEX('Reference-aQuartz'!$H$4:$H$17,MATCH($B$44,'Reference-aQuartz'!$A$4:$A$17,0))</f>
        <v>0</v>
      </c>
      <c r="O53" s="32">
        <f t="shared" si="14"/>
        <v>0</v>
      </c>
      <c r="P53" s="32">
        <f t="shared" si="10"/>
        <v>0</v>
      </c>
      <c r="Q53" s="69"/>
      <c r="R53" s="89" t="s">
        <v>81</v>
      </c>
      <c r="S53" s="69">
        <f>'LA-Ref 0.5'!P10*0.65</f>
        <v>6.9948801462326609</v>
      </c>
      <c r="T53" s="69">
        <f>P53</f>
        <v>0</v>
      </c>
      <c r="U53" s="34">
        <f t="shared" si="15"/>
        <v>1</v>
      </c>
    </row>
    <row r="54" spans="1:22" x14ac:dyDescent="0.25">
      <c r="A54" s="1" t="s">
        <v>56</v>
      </c>
      <c r="B54" s="12">
        <f>0.65*'LA-Ref 0.5'!B11+0.35*B11</f>
        <v>1.2304999999999999</v>
      </c>
      <c r="C54" s="18">
        <f t="shared" si="11"/>
        <v>1.2304359374837306</v>
      </c>
      <c r="D54" s="18">
        <f>INDEX(MAC!$H$3:$H$16,MATCH($A54,MAC!$A$3:$A$16,0))</f>
        <v>122.32505440840811</v>
      </c>
      <c r="E54" s="18">
        <f t="shared" si="12"/>
        <v>1.5051314299875798</v>
      </c>
      <c r="F54" s="21"/>
      <c r="G54" s="55"/>
      <c r="H54" s="85" t="s">
        <v>40</v>
      </c>
      <c r="I54" s="85">
        <v>202220</v>
      </c>
      <c r="J54" s="71">
        <v>1.6700590000000001E-2</v>
      </c>
      <c r="K54" s="71">
        <v>2.2400000000000002</v>
      </c>
      <c r="L54" s="71">
        <v>54.883800000000001</v>
      </c>
      <c r="M54" s="5">
        <f t="shared" si="13"/>
        <v>53.603458879301883</v>
      </c>
      <c r="N54" s="6">
        <f>100*J54*K54*(L54*0.00000001^3)^2*M54/INDEX('Reference-aQuartz'!$H$4:$H$17,MATCH($B$44,'Reference-aQuartz'!$A$4:$A$17,0))</f>
        <v>7.4211356641425512</v>
      </c>
      <c r="O54" s="32">
        <f t="shared" si="14"/>
        <v>14.385586056645561</v>
      </c>
      <c r="P54" s="32">
        <f t="shared" si="10"/>
        <v>9.3506309368196145</v>
      </c>
      <c r="Q54" s="69">
        <v>10.9</v>
      </c>
      <c r="R54" s="89" t="s">
        <v>84</v>
      </c>
      <c r="S54" s="69">
        <f>SUM(S49:S53)</f>
        <v>58.346908787948472</v>
      </c>
      <c r="T54" s="69">
        <f>SUM(T49:T53)</f>
        <v>1.2531164243326327</v>
      </c>
    </row>
    <row r="55" spans="1:22" x14ac:dyDescent="0.25">
      <c r="A55" s="1" t="s">
        <v>57</v>
      </c>
      <c r="B55" s="12">
        <f>0.65*'LA-Ref 0.5'!B12+0.35*B12</f>
        <v>2.1915000000000004</v>
      </c>
      <c r="C55" s="18">
        <f t="shared" si="11"/>
        <v>2.1913859057257992</v>
      </c>
      <c r="D55" s="18">
        <f>INDEX(MAC!$H$3:$H$16,MATCH($A55,MAC!$A$3:$A$16,0))</f>
        <v>44.261072668681777</v>
      </c>
      <c r="E55" s="18">
        <f t="shared" si="12"/>
        <v>0.9699309081845463</v>
      </c>
      <c r="F55" s="21"/>
      <c r="G55" s="55"/>
      <c r="H55" s="85" t="s">
        <v>25</v>
      </c>
      <c r="I55" s="85">
        <v>73446</v>
      </c>
      <c r="J55" s="65">
        <v>6.779E-5</v>
      </c>
      <c r="K55" s="71">
        <v>2.72</v>
      </c>
      <c r="L55" s="71">
        <v>367.24599999999998</v>
      </c>
      <c r="M55" s="5">
        <f t="shared" si="13"/>
        <v>53.603458879301883</v>
      </c>
      <c r="N55" s="6">
        <f>100*J55*K55*(L55*0.00000001^3)^2*M55/INDEX('Reference-aQuartz'!$H$4:$H$17,MATCH($B$44,'Reference-aQuartz'!$A$4:$A$17,0))</f>
        <v>1.6377623331609332</v>
      </c>
      <c r="O55" s="32">
        <f t="shared" si="14"/>
        <v>3.1747392919735011</v>
      </c>
      <c r="P55" s="32">
        <f t="shared" si="10"/>
        <v>2.0635805397827758</v>
      </c>
      <c r="Q55" s="69">
        <v>2.7</v>
      </c>
    </row>
    <row r="56" spans="1:22" x14ac:dyDescent="0.25">
      <c r="A56" s="1" t="s">
        <v>14</v>
      </c>
      <c r="B56" s="12">
        <f>0.65*'LA-Ref 0.5'!B13+0.35*B13</f>
        <v>9.5000000000000001E-2</v>
      </c>
      <c r="C56" s="18">
        <f t="shared" si="11"/>
        <v>9.4995054092608222E-2</v>
      </c>
      <c r="D56" s="18">
        <f>INDEX(MAC!$H$3:$H$16,MATCH($A56,MAC!$A$3:$A$16,0))</f>
        <v>97.328178229861322</v>
      </c>
      <c r="E56" s="18">
        <f t="shared" si="12"/>
        <v>9.24569555568069E-2</v>
      </c>
      <c r="F56" s="21"/>
      <c r="G56" s="55"/>
      <c r="H56" s="85" t="s">
        <v>21</v>
      </c>
      <c r="I56" s="85">
        <v>174</v>
      </c>
      <c r="J56" s="71">
        <v>3.74011E-3</v>
      </c>
      <c r="K56" s="71">
        <v>2.65</v>
      </c>
      <c r="L56" s="71">
        <v>112.9658</v>
      </c>
      <c r="M56" s="5">
        <f t="shared" si="13"/>
        <v>53.603458879301883</v>
      </c>
      <c r="N56" s="6">
        <f>100*J56*K56*(L56*0.00000001^3)^2*M56/INDEX('Reference-aQuartz'!$H$4:$H$17,MATCH($B$44,'Reference-aQuartz'!$A$4:$A$17,0))</f>
        <v>8.329643338452728</v>
      </c>
      <c r="O56" s="32">
        <f t="shared" si="14"/>
        <v>16.146693240692979</v>
      </c>
      <c r="P56" s="32">
        <f t="shared" si="10"/>
        <v>10.495350606450437</v>
      </c>
      <c r="Q56" s="69"/>
    </row>
    <row r="57" spans="1:22" x14ac:dyDescent="0.25">
      <c r="A57" s="1" t="s">
        <v>58</v>
      </c>
      <c r="B57" s="12">
        <f>0.65*'LA-Ref 0.5'!B14+0.35*B14</f>
        <v>0.58550000000000002</v>
      </c>
      <c r="C57" s="18">
        <f t="shared" si="11"/>
        <v>0.58546951759181176</v>
      </c>
      <c r="D57" s="18">
        <f>INDEX(MAC!$H$3:$H$16,MATCH($A57,MAC!$A$3:$A$16,0))</f>
        <v>19.10926020222594</v>
      </c>
      <c r="E57" s="18">
        <f t="shared" si="12"/>
        <v>0.11187889352133629</v>
      </c>
      <c r="F57" s="21"/>
      <c r="G57" s="55"/>
      <c r="H57" s="85" t="s">
        <v>87</v>
      </c>
      <c r="I57" s="85">
        <v>155395</v>
      </c>
      <c r="J57" s="65">
        <v>4.7099999999999998E-6</v>
      </c>
      <c r="K57" s="71">
        <v>1.79</v>
      </c>
      <c r="L57" s="71">
        <v>2333.0459999999998</v>
      </c>
      <c r="M57" s="5">
        <f t="shared" si="13"/>
        <v>53.603458879301883</v>
      </c>
      <c r="N57" s="6">
        <f>100*J57*K57*(L57*0.00000001^3)^2*M57/INDEX('Reference-aQuartz'!$H$4:$H$17,MATCH($B$44,'Reference-aQuartz'!$A$4:$A$17,0))</f>
        <v>3.0221967471524804</v>
      </c>
      <c r="O57" s="32">
        <f t="shared" si="14"/>
        <v>5.8584121560186553</v>
      </c>
      <c r="P57" s="32">
        <f t="shared" si="10"/>
        <v>3.8079679014121255</v>
      </c>
      <c r="Q57" s="69"/>
    </row>
    <row r="58" spans="1:22" x14ac:dyDescent="0.25">
      <c r="A58" s="1" t="s">
        <v>59</v>
      </c>
      <c r="B58" s="12">
        <f>0.65*'LA-Ref 0.5'!B15+0.35*B15</f>
        <v>0.34399999999999997</v>
      </c>
      <c r="C58" s="18">
        <f t="shared" si="11"/>
        <v>0.34398209060902341</v>
      </c>
      <c r="D58" s="18">
        <f>INDEX(MAC!$H$3:$H$16,MATCH($A58,MAC!$A$3:$A$16,0))</f>
        <v>124.47726788956365</v>
      </c>
      <c r="E58" s="18">
        <f t="shared" si="12"/>
        <v>0.42817950841951563</v>
      </c>
      <c r="F58" s="21"/>
      <c r="G58" s="55"/>
      <c r="H58" s="85" t="s">
        <v>88</v>
      </c>
      <c r="I58" s="85">
        <v>81963</v>
      </c>
      <c r="J58" s="71">
        <v>0</v>
      </c>
      <c r="K58" s="71">
        <v>2.14</v>
      </c>
      <c r="L58" s="71">
        <v>182.21440000000001</v>
      </c>
      <c r="M58" s="5">
        <f t="shared" si="13"/>
        <v>53.603458879301883</v>
      </c>
      <c r="N58" s="6">
        <f>100*J58*K58*(L58*0.00000001^3)^2*M58/INDEX('Reference-aQuartz'!$H$4:$H$17,MATCH($B$44,'Reference-aQuartz'!$A$4:$A$17,0))</f>
        <v>0</v>
      </c>
      <c r="O58" s="32">
        <f t="shared" si="14"/>
        <v>0</v>
      </c>
      <c r="P58" s="32">
        <f t="shared" si="10"/>
        <v>0</v>
      </c>
      <c r="Q58" s="69"/>
    </row>
    <row r="59" spans="1:22" x14ac:dyDescent="0.25">
      <c r="A59" s="1" t="s">
        <v>60</v>
      </c>
      <c r="B59" s="12">
        <f>0.65*'LA-Ref 0.5'!B16+0.35*B16</f>
        <v>0.2215</v>
      </c>
      <c r="C59" s="18">
        <f t="shared" si="11"/>
        <v>0.22148846822644969</v>
      </c>
      <c r="D59" s="18">
        <f>INDEX(MAC!$H$3:$H$16,MATCH($A59,MAC!$A$3:$A$16,0))</f>
        <v>39.431437267071992</v>
      </c>
      <c r="E59" s="18">
        <f t="shared" si="12"/>
        <v>8.7336086402511184E-2</v>
      </c>
      <c r="F59" s="21"/>
      <c r="G59" s="55"/>
      <c r="H59" s="85" t="s">
        <v>89</v>
      </c>
      <c r="I59" s="85">
        <v>59327</v>
      </c>
      <c r="J59" s="65">
        <v>1.0783E-4</v>
      </c>
      <c r="K59" s="71">
        <v>2.16</v>
      </c>
      <c r="L59" s="71">
        <v>436.5052</v>
      </c>
      <c r="M59" s="5">
        <f t="shared" si="13"/>
        <v>53.603458879301883</v>
      </c>
      <c r="N59" s="6">
        <f>100*J59*K59*(L59*0.00000001^3)^2*M59/INDEX('Reference-aQuartz'!$H$4:$H$17,MATCH($B$44,'Reference-aQuartz'!$A$4:$A$17,0))</f>
        <v>2.9226337292665416</v>
      </c>
      <c r="O59" s="32">
        <f t="shared" si="14"/>
        <v>5.6654130751936034</v>
      </c>
      <c r="P59" s="32">
        <f t="shared" si="10"/>
        <v>3.6825184988758424</v>
      </c>
      <c r="Q59" s="69"/>
    </row>
    <row r="60" spans="1:22" x14ac:dyDescent="0.25">
      <c r="A60" s="19" t="s">
        <v>23</v>
      </c>
      <c r="B60" s="12">
        <f>0.65*'LA-Ref 0.5'!B17+0.35*B17</f>
        <v>7.3499999999999996E-2</v>
      </c>
      <c r="C60" s="18">
        <f t="shared" si="11"/>
        <v>7.3496173429544245E-2</v>
      </c>
      <c r="D60" s="18">
        <f>INDEX(MAC!$H$3:$H$16,MATCH($A60,MAC!$A$3:$A$16,0))</f>
        <v>197.69998688868492</v>
      </c>
      <c r="E60" s="18">
        <f t="shared" si="12"/>
        <v>0.1453019252338941</v>
      </c>
      <c r="F60" s="21"/>
      <c r="G60" s="55"/>
      <c r="H60" s="85" t="s">
        <v>90</v>
      </c>
      <c r="I60" s="85">
        <v>2105252</v>
      </c>
      <c r="J60" s="65">
        <v>6.7999999999999995E-7</v>
      </c>
      <c r="K60" s="71">
        <v>1.82</v>
      </c>
      <c r="L60" s="71">
        <v>1414.9349999999999</v>
      </c>
      <c r="M60" s="5">
        <f t="shared" si="13"/>
        <v>53.603458879301883</v>
      </c>
      <c r="N60" s="6">
        <f>100*J60*K60*(L60*0.00000001^3)^2*M60/INDEX('Reference-aQuartz'!$H$4:$H$17,MATCH($B$44,'Reference-aQuartz'!$A$4:$A$17,0))</f>
        <v>0.16317569527868925</v>
      </c>
      <c r="O60" s="32">
        <f t="shared" si="14"/>
        <v>0.31630980930945918</v>
      </c>
      <c r="P60" s="32">
        <f t="shared" si="10"/>
        <v>0.20560137605114845</v>
      </c>
      <c r="Q60" s="69"/>
    </row>
    <row r="61" spans="1:22" x14ac:dyDescent="0.25">
      <c r="A61" s="1" t="s">
        <v>66</v>
      </c>
      <c r="B61" s="12">
        <f>0.65*'LA-Ref 0.5'!B18+0.35*B18</f>
        <v>3.9660000000000002</v>
      </c>
      <c r="C61" s="18">
        <f>B61</f>
        <v>3.9660000000000002</v>
      </c>
      <c r="D61" s="18">
        <f>INDEX(MAC!$H$3:$H$16,MATCH($A61,MAC!$A$3:$A$16,0))</f>
        <v>9.592279079279237</v>
      </c>
      <c r="E61" s="18">
        <f t="shared" si="12"/>
        <v>0.38042978828421453</v>
      </c>
      <c r="F61" s="21"/>
      <c r="G61" s="55"/>
      <c r="H61" s="85" t="s">
        <v>26</v>
      </c>
      <c r="I61" s="85">
        <v>87658</v>
      </c>
      <c r="J61" s="65">
        <v>6.3769999999999994E-5</v>
      </c>
      <c r="K61" s="71">
        <v>2.62</v>
      </c>
      <c r="L61" s="71">
        <v>334.93720000000002</v>
      </c>
      <c r="M61" s="5">
        <f t="shared" si="13"/>
        <v>53.603458879301883</v>
      </c>
      <c r="N61" s="6">
        <f>100*J61*K61*(L61*0.00000001^3)^2*M61/INDEX('Reference-aQuartz'!$H$4:$H$17,MATCH($B$44,'Reference-aQuartz'!$A$4:$A$17,0))</f>
        <v>1.2343737323745443</v>
      </c>
      <c r="O61" s="32">
        <f t="shared" si="14"/>
        <v>2.3927860042952709</v>
      </c>
      <c r="P61" s="32">
        <f t="shared" si="10"/>
        <v>1.5553109027919259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85" t="s">
        <v>33</v>
      </c>
      <c r="I62" s="85">
        <v>202423</v>
      </c>
      <c r="J62" s="65">
        <v>7.6580000000000002E-5</v>
      </c>
      <c r="K62" s="71">
        <v>2.56</v>
      </c>
      <c r="L62" s="71">
        <v>359.08850000000001</v>
      </c>
      <c r="M62" s="5">
        <f t="shared" si="13"/>
        <v>53.603458879301883</v>
      </c>
      <c r="N62" s="6">
        <f>100*J62*K62*(L62*0.00000001^3)^2*M62/INDEX('Reference-aQuartz'!$H$4:$H$17,MATCH($B$44,'Reference-aQuartz'!$A$4:$A$17,0))</f>
        <v>1.6647940430392949</v>
      </c>
      <c r="O62" s="32">
        <f t="shared" si="14"/>
        <v>3.2271392218915564</v>
      </c>
      <c r="P62" s="32">
        <f t="shared" si="10"/>
        <v>2.0976404942295117</v>
      </c>
      <c r="Q62" s="88"/>
    </row>
    <row r="63" spans="1:22" x14ac:dyDescent="0.25">
      <c r="A63" s="25" t="s">
        <v>7</v>
      </c>
      <c r="B63" s="40">
        <f>SUM(B49:B60)</f>
        <v>96.039000000000001</v>
      </c>
      <c r="C63" s="40">
        <f>SUM(C49:C61)</f>
        <v>100.00000000000001</v>
      </c>
      <c r="D63" s="25" t="s">
        <v>29</v>
      </c>
      <c r="E63" s="56">
        <f>SUM(E49:E61)</f>
        <v>82.501212814379073</v>
      </c>
      <c r="F63" s="57">
        <f>E63*(1-C45)+D62*C45</f>
        <v>53.603458879301883</v>
      </c>
      <c r="H63" s="107" t="s">
        <v>7</v>
      </c>
      <c r="I63" s="108"/>
      <c r="J63" s="108"/>
      <c r="K63" s="108"/>
      <c r="L63" s="108"/>
      <c r="M63" s="109"/>
      <c r="N63" s="6">
        <f>SUM(N49:N62)</f>
        <v>27.390252127576197</v>
      </c>
      <c r="O63" s="31">
        <f>SUM(O49:O62)</f>
        <v>53.09495027807079</v>
      </c>
      <c r="P63" s="31">
        <f>SUM(P49:P62)</f>
        <v>34.511717680746017</v>
      </c>
    </row>
    <row r="64" spans="1:22" x14ac:dyDescent="0.25">
      <c r="H64" s="107" t="s">
        <v>28</v>
      </c>
      <c r="I64" s="108"/>
      <c r="J64" s="108"/>
      <c r="K64" s="108"/>
      <c r="L64" s="108"/>
      <c r="M64" s="109"/>
      <c r="N64" s="6">
        <f>100-N63</f>
        <v>72.60974787242381</v>
      </c>
      <c r="O64" s="31">
        <f>100-O63</f>
        <v>46.90504972192921</v>
      </c>
      <c r="P64" s="31">
        <f>100-P63</f>
        <v>65.488282319253983</v>
      </c>
    </row>
  </sheetData>
  <mergeCells count="14">
    <mergeCell ref="H19:M19"/>
    <mergeCell ref="H18:M18"/>
    <mergeCell ref="H42:M42"/>
    <mergeCell ref="H64:M64"/>
    <mergeCell ref="H63:M63"/>
    <mergeCell ref="H41:M41"/>
    <mergeCell ref="S49:S50"/>
    <mergeCell ref="T49:T50"/>
    <mergeCell ref="U49:U50"/>
    <mergeCell ref="R49:R50"/>
    <mergeCell ref="R27:R28"/>
    <mergeCell ref="S27:S28"/>
    <mergeCell ref="U27:U28"/>
    <mergeCell ref="T27:T28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33526-90C4-4DD8-BB56-42C7746EA65B}">
  <sheetPr>
    <tabColor theme="9"/>
  </sheetPr>
  <dimension ref="A1:AV64"/>
  <sheetViews>
    <sheetView zoomScaleNormal="100" workbookViewId="0">
      <selection activeCell="G3" sqref="G3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8.570312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42" t="s">
        <v>32</v>
      </c>
      <c r="B1" s="43">
        <v>44687</v>
      </c>
      <c r="H1" s="38" t="s">
        <v>20</v>
      </c>
      <c r="I1" s="38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97" t="s">
        <v>8</v>
      </c>
      <c r="B4" s="97" t="s">
        <v>30</v>
      </c>
      <c r="C4" s="97" t="s">
        <v>31</v>
      </c>
      <c r="D4" s="97" t="s">
        <v>68</v>
      </c>
      <c r="E4" s="97" t="s">
        <v>69</v>
      </c>
      <c r="H4" s="97" t="s">
        <v>9</v>
      </c>
      <c r="I4" s="97" t="s">
        <v>86</v>
      </c>
      <c r="J4" s="97" t="s">
        <v>2</v>
      </c>
      <c r="K4" s="97" t="s">
        <v>3</v>
      </c>
      <c r="L4" s="97" t="s">
        <v>4</v>
      </c>
      <c r="M4" s="97" t="s">
        <v>5</v>
      </c>
      <c r="N4" s="5" t="s">
        <v>15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97" t="s">
        <v>11</v>
      </c>
      <c r="B5" s="97" t="s">
        <v>93</v>
      </c>
      <c r="C5" s="97" t="s">
        <v>93</v>
      </c>
      <c r="D5" s="97" t="s">
        <v>13</v>
      </c>
      <c r="E5" s="97" t="s">
        <v>13</v>
      </c>
      <c r="H5" s="97" t="s">
        <v>11</v>
      </c>
      <c r="I5" s="97" t="s">
        <v>11</v>
      </c>
      <c r="J5" s="97" t="s">
        <v>11</v>
      </c>
      <c r="K5" s="97" t="s">
        <v>16</v>
      </c>
      <c r="L5" s="97" t="s">
        <v>19</v>
      </c>
      <c r="M5" s="97" t="s">
        <v>13</v>
      </c>
      <c r="N5" s="5" t="s">
        <v>12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72</v>
      </c>
      <c r="C6" s="18">
        <f t="shared" ref="C6:C17" si="0">B6*(100-B$18)/B$19</f>
        <v>71.971185592796402</v>
      </c>
      <c r="D6" s="18">
        <f>INDEX(MAC!$H$3:$H$16,MATCH('LA-GB'!$A6,MAC!$A$3:$A$16,0))</f>
        <v>35.900659077291785</v>
      </c>
      <c r="E6" s="18">
        <f>C6*D6/100</f>
        <v>25.838129973554778</v>
      </c>
      <c r="F6" s="39"/>
      <c r="G6" s="39"/>
      <c r="H6" s="97"/>
      <c r="I6" s="97"/>
      <c r="J6" s="97"/>
      <c r="K6" s="97"/>
      <c r="L6" s="97"/>
      <c r="M6" s="5"/>
      <c r="N6" s="6">
        <f>100*J6*K6*(L6*0.00000001^3)^2*M6/INDEX('Reference-aQuartz'!$H$4:$H$17,MATCH($B$1,'Reference-aQuartz'!$A$4:$A$17,0))</f>
        <v>0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0.7</v>
      </c>
      <c r="C7" s="18">
        <f t="shared" si="0"/>
        <v>0.69971985992996499</v>
      </c>
      <c r="D7" s="18">
        <f>INDEX(MAC!$H$3:$H$16,MATCH('LA-GB'!$A7,MAC!$A$3:$A$16,0))</f>
        <v>31.664851266660783</v>
      </c>
      <c r="E7" s="18">
        <f t="shared" ref="E7:E18" si="1">C7*D7/100</f>
        <v>0.22156525293011056</v>
      </c>
      <c r="F7" s="39"/>
      <c r="G7" s="39"/>
      <c r="H7" s="97"/>
      <c r="I7" s="97"/>
      <c r="J7" s="97"/>
      <c r="K7" s="97"/>
      <c r="L7" s="97"/>
      <c r="M7" s="5"/>
      <c r="N7" s="6">
        <f>100*J7*K7*(L7*0.00000001^3)^2*M7/INDEX('Reference-aQuartz'!$H$4:$H$17,MATCH($B$1,'Reference-aQuartz'!$A$4:$A$17,0))</f>
        <v>0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0.17</v>
      </c>
      <c r="C8" s="18">
        <f t="shared" si="0"/>
        <v>0.16993196598299151</v>
      </c>
      <c r="D8" s="18">
        <f>INDEX(MAC!$H$3:$H$16,MATCH('LA-GB'!$A8,MAC!$A$3:$A$16,0))</f>
        <v>214.68463619455559</v>
      </c>
      <c r="E8" s="18">
        <f t="shared" si="1"/>
        <v>0.36481782294884124</v>
      </c>
      <c r="F8" s="39"/>
      <c r="G8" s="39"/>
      <c r="H8" s="97"/>
      <c r="I8" s="97"/>
      <c r="J8" s="97"/>
      <c r="K8" s="97"/>
      <c r="L8" s="97"/>
      <c r="M8" s="5"/>
      <c r="N8" s="6">
        <f>100*J8*K8*(L8*0.00000001^3)^2*M8/INDEX('Reference-aQuartz'!$H$4:$H$17,MATCH($B$1,'Reference-aQuartz'!$A$4:$A$17,0))</f>
        <v>0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3.8</v>
      </c>
      <c r="C9" s="18">
        <f t="shared" si="0"/>
        <v>3.7984792396198097</v>
      </c>
      <c r="D9" s="18">
        <f>INDEX(MAC!$H$3:$H$16,MATCH('LA-GB'!$A9,MAC!$A$3:$A$16,0))</f>
        <v>28.686693628423974</v>
      </c>
      <c r="E9" s="18">
        <f t="shared" si="1"/>
        <v>1.0896581020090235</v>
      </c>
      <c r="F9" s="39"/>
      <c r="G9" s="39"/>
      <c r="H9" s="97"/>
      <c r="I9" s="97"/>
      <c r="J9" s="97"/>
      <c r="K9" s="97"/>
      <c r="L9" s="97"/>
      <c r="M9" s="5"/>
      <c r="N9" s="6">
        <f>100*J9*K9*(L9*0.00000001^3)^2*M9/INDEX('Reference-aQuartz'!$H$4:$H$17,MATCH($B$1,'Reference-aQuartz'!$A$4:$A$17,0))</f>
        <v>0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9.1</v>
      </c>
      <c r="C10" s="18">
        <f t="shared" si="0"/>
        <v>9.0963581790895454</v>
      </c>
      <c r="D10" s="18">
        <f>INDEX(MAC!$H$3:$H$16,MATCH('LA-GB'!$A10,MAC!$A$3:$A$16,0))</f>
        <v>124.77929454143408</v>
      </c>
      <c r="E10" s="18">
        <f t="shared" si="1"/>
        <v>11.350371564829976</v>
      </c>
      <c r="F10" s="39"/>
      <c r="G10" s="39"/>
      <c r="H10" s="97"/>
      <c r="I10" s="97"/>
      <c r="J10" s="97"/>
      <c r="K10" s="97"/>
      <c r="L10" s="97"/>
      <c r="M10" s="5"/>
      <c r="N10" s="6">
        <f>100*J10*K10*(L10*0.00000001^3)^2*M10/INDEX('Reference-aQuartz'!$H$4:$H$17,MATCH($B$1,'Reference-aQuartz'!$A$4:$A$17,0))</f>
        <v>0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0.21</v>
      </c>
      <c r="C11" s="18">
        <f t="shared" si="0"/>
        <v>0.20991595797898949</v>
      </c>
      <c r="D11" s="18">
        <f>INDEX(MAC!$H$3:$H$16,MATCH('LA-GB'!$A11,MAC!$A$3:$A$16,0))</f>
        <v>122.32505440840811</v>
      </c>
      <c r="E11" s="18">
        <f t="shared" si="1"/>
        <v>0.25677980980973003</v>
      </c>
      <c r="F11" s="39"/>
      <c r="G11" s="39"/>
      <c r="H11" s="26"/>
      <c r="I11" s="97"/>
      <c r="J11" s="97"/>
      <c r="K11" s="97"/>
      <c r="L11" s="97"/>
      <c r="M11" s="5"/>
      <c r="N11" s="6">
        <f>100*J11*K11*(L11*0.00000001^3)^2*M11/INDEX('Reference-aQuartz'!$H$4:$H$17,MATCH($B$1,'Reference-aQuartz'!$A$4:$A$17,0))</f>
        <v>0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0.24</v>
      </c>
      <c r="C12" s="18">
        <f t="shared" si="0"/>
        <v>0.23990395197598799</v>
      </c>
      <c r="D12" s="18">
        <f>INDEX(MAC!$H$3:$H$16,MATCH('LA-GB'!$A12,MAC!$A$3:$A$16,0))</f>
        <v>44.261072668681777</v>
      </c>
      <c r="E12" s="18">
        <f t="shared" si="1"/>
        <v>0.10618406251913148</v>
      </c>
      <c r="F12" s="39"/>
      <c r="G12" s="39"/>
      <c r="H12" s="97"/>
      <c r="I12" s="97"/>
      <c r="J12" s="97"/>
      <c r="K12" s="97"/>
      <c r="L12" s="97"/>
      <c r="M12" s="5"/>
      <c r="N12" s="6">
        <f>100*J12*K12*(L12*0.00000001^3)^2*M12/INDEX('Reference-aQuartz'!$H$4:$H$17,MATCH($B$1,'Reference-aQuartz'!$A$4:$A$17,0))</f>
        <v>0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0.01</v>
      </c>
      <c r="C13" s="18">
        <f t="shared" si="0"/>
        <v>9.9959979989995007E-3</v>
      </c>
      <c r="D13" s="18">
        <f>INDEX(MAC!$H$3:$H$16,MATCH('LA-GB'!$A13,MAC!$A$3:$A$16,0))</f>
        <v>97.328178229861322</v>
      </c>
      <c r="E13" s="18">
        <f t="shared" si="1"/>
        <v>9.7289227483196052E-3</v>
      </c>
      <c r="F13" s="39"/>
      <c r="G13" s="39"/>
      <c r="H13" s="97"/>
      <c r="I13" s="97"/>
      <c r="J13" s="97"/>
      <c r="K13" s="97"/>
      <c r="L13" s="97"/>
      <c r="M13" s="5"/>
      <c r="N13" s="6">
        <f>100*J13*K13*(L13*0.00000001^3)^2*M13/INDEX('Reference-aQuartz'!$H$4:$H$17,MATCH($B$1,'Reference-aQuartz'!$A$4:$A$17,0))</f>
        <v>0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13.63</v>
      </c>
      <c r="C14" s="18">
        <f t="shared" si="0"/>
        <v>13.62454527263632</v>
      </c>
      <c r="D14" s="18">
        <f>INDEX(MAC!$H$3:$H$16,MATCH('LA-GB'!$A14,MAC!$A$3:$A$16,0))</f>
        <v>19.10926020222594</v>
      </c>
      <c r="E14" s="18">
        <f t="shared" si="1"/>
        <v>2.603549807518148</v>
      </c>
      <c r="F14" s="39"/>
      <c r="G14" s="39"/>
      <c r="H14" s="97"/>
      <c r="I14" s="97"/>
      <c r="J14" s="97"/>
      <c r="K14" s="97"/>
      <c r="L14" s="97"/>
      <c r="M14" s="5"/>
      <c r="N14" s="6">
        <f>100*J14*K14*(L14*0.00000001^3)^2*M14/INDEX('Reference-aQuartz'!$H$4:$H$17,MATCH($B$1,'Reference-aQuartz'!$A$4:$A$17,0))</f>
        <v>0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7.0000000000000007E-2</v>
      </c>
      <c r="C15" s="18">
        <f t="shared" si="0"/>
        <v>6.9971985992996505E-2</v>
      </c>
      <c r="D15" s="18">
        <f>INDEX(MAC!$H$3:$H$16,MATCH('LA-GB'!$A15,MAC!$A$3:$A$16,0))</f>
        <v>124.47726788956365</v>
      </c>
      <c r="E15" s="18">
        <f t="shared" si="1"/>
        <v>8.7099216452150199E-2</v>
      </c>
      <c r="F15" s="39"/>
      <c r="G15" s="39"/>
      <c r="H15" s="97"/>
      <c r="I15" s="97"/>
      <c r="J15" s="97"/>
      <c r="K15" s="97"/>
      <c r="L15" s="97"/>
      <c r="M15" s="5"/>
      <c r="N15" s="6">
        <f>100*J15*K15*(L15*0.00000001^3)^2*M15/INDEX('Reference-aQuartz'!$H$4:$H$17,MATCH($B$1,'Reference-aQuartz'!$A$4:$A$17,0))</f>
        <v>0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5">
        <v>0.01</v>
      </c>
      <c r="C16" s="18">
        <f t="shared" si="0"/>
        <v>9.9959979989995007E-3</v>
      </c>
      <c r="D16" s="18">
        <f>INDEX(MAC!$H$3:$H$16,MATCH('LA-GB'!$A16,MAC!$A$3:$A$16,0))</f>
        <v>39.431437267071992</v>
      </c>
      <c r="E16" s="18">
        <f t="shared" si="1"/>
        <v>3.9415656801932595E-3</v>
      </c>
      <c r="F16" s="39"/>
      <c r="G16" s="39"/>
      <c r="H16" s="97"/>
      <c r="I16" s="97"/>
      <c r="J16" s="97"/>
      <c r="K16" s="97"/>
      <c r="L16" s="97"/>
      <c r="M16" s="5"/>
      <c r="N16" s="6">
        <f>100*J16*K16*(L16*0.00000001^3)^2*M16/INDEX('Reference-aQuartz'!$H$4:$H$17,MATCH($B$1,'Reference-aQuartz'!$A$4:$A$17,0))</f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5">
        <v>0.01</v>
      </c>
      <c r="C17" s="18">
        <f t="shared" si="0"/>
        <v>9.9959979989995007E-3</v>
      </c>
      <c r="D17" s="18">
        <f>INDEX(MAC!$H$3:$H$16,MATCH('LA-GB'!$A17,MAC!$A$3:$A$16,0))</f>
        <v>197.69998688868492</v>
      </c>
      <c r="E17" s="18">
        <f t="shared" si="1"/>
        <v>1.9762086733415219E-2</v>
      </c>
      <c r="H17" s="21"/>
      <c r="I17" s="21"/>
      <c r="J17" s="21"/>
      <c r="K17" s="21"/>
      <c r="L17" s="21"/>
      <c r="M17" s="5"/>
      <c r="N17" s="37">
        <f>100*J17*K17*(L17*0.00000001^3)^2*M17/INDEX('Reference-aQuartz'!$H$4:$H$17,MATCH($B$1,'Reference-aQuartz'!$A$4:$A$17,0))</f>
        <v>0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0.09</v>
      </c>
      <c r="C18" s="18">
        <f>B18</f>
        <v>0.09</v>
      </c>
      <c r="D18" s="18">
        <f>INDEX(MAC!$H$3:$H$16,MATCH('LA-GB'!$A18,MAC!$A$3:$A$16,0))</f>
        <v>9.592279079279237</v>
      </c>
      <c r="E18" s="18">
        <f t="shared" si="1"/>
        <v>8.6330511713513126E-3</v>
      </c>
      <c r="H18" s="104" t="s">
        <v>7</v>
      </c>
      <c r="I18" s="105"/>
      <c r="J18" s="105"/>
      <c r="K18" s="105"/>
      <c r="L18" s="105"/>
      <c r="M18" s="106"/>
      <c r="N18" s="37">
        <f>SUM(N6:N17)</f>
        <v>0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97" t="s">
        <v>7</v>
      </c>
      <c r="B19" s="40">
        <f>SUM(B6:B17)</f>
        <v>99.949999999999989</v>
      </c>
      <c r="C19" s="40">
        <f>SUM(C6:C18)</f>
        <v>100.00000000000003</v>
      </c>
      <c r="D19" s="97" t="s">
        <v>29</v>
      </c>
      <c r="E19" s="41">
        <f>SUM(E6:E18)</f>
        <v>41.960221238905177</v>
      </c>
      <c r="H19" s="107" t="s">
        <v>28</v>
      </c>
      <c r="I19" s="108"/>
      <c r="J19" s="108"/>
      <c r="K19" s="108"/>
      <c r="L19" s="108"/>
      <c r="M19" s="109"/>
      <c r="N19" s="37">
        <f>100-N18</f>
        <v>100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44735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0.3</v>
      </c>
      <c r="D23" s="52"/>
      <c r="E23" s="52">
        <v>0.2</v>
      </c>
      <c r="F23" s="53"/>
    </row>
    <row r="24" spans="1:48" x14ac:dyDescent="0.25">
      <c r="H24" s="46" t="s">
        <v>6</v>
      </c>
      <c r="I24" s="28">
        <v>4.3499999999999996</v>
      </c>
      <c r="J24" s="33"/>
    </row>
    <row r="25" spans="1:48" x14ac:dyDescent="0.25">
      <c r="A25" s="97" t="s">
        <v>8</v>
      </c>
      <c r="B25" s="97" t="s">
        <v>30</v>
      </c>
      <c r="C25" s="97" t="s">
        <v>31</v>
      </c>
      <c r="D25" s="97" t="s">
        <v>68</v>
      </c>
      <c r="E25" s="97" t="s">
        <v>69</v>
      </c>
      <c r="F25" s="97" t="s">
        <v>74</v>
      </c>
      <c r="G25" s="54"/>
      <c r="H25" s="97" t="s">
        <v>9</v>
      </c>
      <c r="I25" s="97" t="s">
        <v>86</v>
      </c>
      <c r="J25" s="97" t="s">
        <v>2</v>
      </c>
      <c r="K25" s="97" t="s">
        <v>3</v>
      </c>
      <c r="L25" s="97" t="s">
        <v>4</v>
      </c>
      <c r="M25" s="97" t="s">
        <v>5</v>
      </c>
      <c r="N25" s="5" t="s">
        <v>15</v>
      </c>
      <c r="O25" s="5" t="s">
        <v>15</v>
      </c>
      <c r="P25" s="5" t="s">
        <v>15</v>
      </c>
      <c r="Q25" s="97" t="s">
        <v>96</v>
      </c>
      <c r="R25" s="98"/>
      <c r="S25" s="97" t="s">
        <v>122</v>
      </c>
      <c r="T25" s="97" t="s">
        <v>123</v>
      </c>
      <c r="U25" s="97" t="s">
        <v>82</v>
      </c>
      <c r="V25" s="36" t="s">
        <v>83</v>
      </c>
    </row>
    <row r="26" spans="1:48" x14ac:dyDescent="0.25">
      <c r="A26" s="97" t="s">
        <v>11</v>
      </c>
      <c r="B26" s="97" t="s">
        <v>93</v>
      </c>
      <c r="C26" s="97" t="s">
        <v>93</v>
      </c>
      <c r="D26" s="97" t="s">
        <v>13</v>
      </c>
      <c r="E26" s="97" t="s">
        <v>13</v>
      </c>
      <c r="F26" s="97" t="s">
        <v>13</v>
      </c>
      <c r="G26" s="54"/>
      <c r="H26" s="97" t="s">
        <v>11</v>
      </c>
      <c r="I26" s="97" t="s">
        <v>11</v>
      </c>
      <c r="J26" s="97" t="s">
        <v>11</v>
      </c>
      <c r="K26" s="97" t="s">
        <v>16</v>
      </c>
      <c r="L26" s="97" t="s">
        <v>19</v>
      </c>
      <c r="M26" s="97" t="s">
        <v>13</v>
      </c>
      <c r="N26" s="5" t="s">
        <v>75</v>
      </c>
      <c r="O26" s="97" t="s">
        <v>113</v>
      </c>
      <c r="P26" s="97" t="s">
        <v>76</v>
      </c>
      <c r="Q26" s="97" t="s">
        <v>76</v>
      </c>
      <c r="R26" s="98"/>
      <c r="S26" s="97" t="s">
        <v>76</v>
      </c>
      <c r="T26" s="97" t="s">
        <v>76</v>
      </c>
      <c r="U26" s="97" t="s">
        <v>11</v>
      </c>
      <c r="V26" s="36" t="s">
        <v>11</v>
      </c>
    </row>
    <row r="27" spans="1:48" x14ac:dyDescent="0.25">
      <c r="A27" s="1" t="s">
        <v>53</v>
      </c>
      <c r="B27" s="12">
        <f>0.65*'LA-Ref 0.5'!B6+0.35*B6</f>
        <v>37.68</v>
      </c>
      <c r="C27" s="18">
        <f>B27*(100-B$39)/B$41</f>
        <v>37.638374838312998</v>
      </c>
      <c r="D27" s="18">
        <f>INDEX(MAC!$H$3:$H$16,MATCH($A27,MAC!$A$3:$A$16,0))</f>
        <v>35.900659077291785</v>
      </c>
      <c r="E27" s="18">
        <f>C27*D27/100</f>
        <v>13.512424632935922</v>
      </c>
      <c r="F27" s="21"/>
      <c r="G27" s="55"/>
      <c r="H27" s="97" t="s">
        <v>34</v>
      </c>
      <c r="I27" s="97"/>
      <c r="J27" s="65">
        <v>7.0000000000000005E-8</v>
      </c>
      <c r="K27" s="97">
        <f>'[1]Rapid 0.5'!K6</f>
        <v>3.15</v>
      </c>
      <c r="L27" s="97">
        <f>'[1]Rapid 0.5'!L6</f>
        <v>2166.0790000000002</v>
      </c>
      <c r="M27" s="5">
        <f>$F$41</f>
        <v>58.152618257089685</v>
      </c>
      <c r="N27" s="6">
        <f>100*J27*K27*(L27*0.00000001^3)^2*M27/INDEX('Reference-aQuartz'!$H$4:$H$17,MATCH($B$22,'Reference-aQuartz'!$A$4:$A$17,0))</f>
        <v>7.0520461094583708E-2</v>
      </c>
      <c r="O27" s="32">
        <f>P27*100/65</f>
        <v>0.13019162048230837</v>
      </c>
      <c r="P27" s="32">
        <f t="shared" ref="P27:P40" si="2">N27*(1+$E$23)</f>
        <v>8.4624553313500453E-2</v>
      </c>
      <c r="Q27" s="69"/>
      <c r="R27" s="110" t="s">
        <v>79</v>
      </c>
      <c r="S27" s="100">
        <f>('LA-Ref 0.5'!P6+'LA-Ref 0.5'!P7)*0.65</f>
        <v>42.364846282241693</v>
      </c>
      <c r="T27" s="100">
        <f>P27+P28</f>
        <v>8.4624553313500453E-2</v>
      </c>
      <c r="U27" s="102">
        <f>(S27-T27)/S27</f>
        <v>0.99800248175693307</v>
      </c>
      <c r="V27" s="30">
        <f>(U27*S27+U29*S29+U30*S30+U31*S31)/S32</f>
        <v>0.9612911803829588</v>
      </c>
    </row>
    <row r="28" spans="1:48" x14ac:dyDescent="0.25">
      <c r="A28" s="1" t="s">
        <v>54</v>
      </c>
      <c r="B28" s="12">
        <f>0.65*'LA-Ref 0.5'!B7+0.35*B7</f>
        <v>3.6250000000000004</v>
      </c>
      <c r="C28" s="18">
        <f t="shared" ref="C28:C38" si="3">B28*(100-B$39)/B$41</f>
        <v>3.6209954561805904</v>
      </c>
      <c r="D28" s="18">
        <f>INDEX(MAC!$H$3:$H$16,MATCH($A28,MAC!$A$3:$A$16,0))</f>
        <v>31.664851266660783</v>
      </c>
      <c r="E28" s="18">
        <f t="shared" ref="E28:E39" si="4">C28*D28/100</f>
        <v>1.1465828255721291</v>
      </c>
      <c r="F28" s="21"/>
      <c r="G28" s="55"/>
      <c r="H28" s="97" t="s">
        <v>35</v>
      </c>
      <c r="I28" s="97">
        <v>94742</v>
      </c>
      <c r="J28" s="97">
        <v>0</v>
      </c>
      <c r="K28" s="97">
        <f>'[1]Rapid 0.5'!K7</f>
        <v>3.16</v>
      </c>
      <c r="L28" s="97">
        <f>'[1]Rapid 0.5'!L7</f>
        <v>4316.1279999999997</v>
      </c>
      <c r="M28" s="5">
        <f t="shared" ref="M28:M40" si="5">$F$41</f>
        <v>58.152618257089685</v>
      </c>
      <c r="N28" s="6">
        <f>100*J28*K28*(L28*0.00000001^3)^2*M28/INDEX('Reference-aQuartz'!$H$4:$H$17,MATCH($B$22,'Reference-aQuartz'!$A$4:$A$17,0))</f>
        <v>0</v>
      </c>
      <c r="O28" s="32">
        <f t="shared" ref="O28:O40" si="6">P28*100/65</f>
        <v>0</v>
      </c>
      <c r="P28" s="32">
        <f t="shared" si="2"/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0.5'!B8+0.35*B8</f>
        <v>2.4449999999999998</v>
      </c>
      <c r="C29" s="18">
        <f t="shared" si="3"/>
        <v>2.4422990042376664</v>
      </c>
      <c r="D29" s="18">
        <f>INDEX(MAC!$H$3:$H$16,MATCH($A29,MAC!$A$3:$A$16,0))</f>
        <v>214.68463619455559</v>
      </c>
      <c r="E29" s="18">
        <f t="shared" si="4"/>
        <v>5.2432407320308876</v>
      </c>
      <c r="F29" s="21"/>
      <c r="G29" s="55"/>
      <c r="H29" s="97" t="s">
        <v>36</v>
      </c>
      <c r="I29" s="97">
        <v>81096</v>
      </c>
      <c r="J29" s="65">
        <v>6.7000000000000002E-5</v>
      </c>
      <c r="K29" s="97">
        <f>'[1]Rapid 0.5'!K8</f>
        <v>3.29</v>
      </c>
      <c r="L29" s="97">
        <f>'[1]Rapid 0.5'!L8</f>
        <v>347.22930000000002</v>
      </c>
      <c r="M29" s="5">
        <f t="shared" si="5"/>
        <v>58.152618257089685</v>
      </c>
      <c r="N29" s="6">
        <f>100*J29*K29*(L29*0.00000001^3)^2*M29/INDEX('Reference-aQuartz'!$H$4:$H$17,MATCH($B$22,'Reference-aQuartz'!$A$4:$A$17,0))</f>
        <v>1.8115961784759562</v>
      </c>
      <c r="O29" s="32">
        <f t="shared" si="6"/>
        <v>3.3444852525709958</v>
      </c>
      <c r="P29" s="32">
        <f t="shared" si="2"/>
        <v>2.1739154141711472</v>
      </c>
      <c r="Q29" s="69"/>
      <c r="R29" s="98" t="s">
        <v>80</v>
      </c>
      <c r="S29" s="69">
        <f>'LA-Ref 0.5'!P8*0.65</f>
        <v>6.6266164042793037</v>
      </c>
      <c r="T29" s="69">
        <f>P29</f>
        <v>2.1739154141711472</v>
      </c>
      <c r="U29" s="34">
        <f>(S29-T29)/S29</f>
        <v>0.67194186572089987</v>
      </c>
    </row>
    <row r="30" spans="1:48" x14ac:dyDescent="0.25">
      <c r="A30" s="1" t="s">
        <v>0</v>
      </c>
      <c r="B30" s="12">
        <f>0.65*'LA-Ref 0.5'!B9+0.35*B9</f>
        <v>1.98</v>
      </c>
      <c r="C30" s="18">
        <f t="shared" si="3"/>
        <v>1.9778126905482947</v>
      </c>
      <c r="D30" s="18">
        <f>INDEX(MAC!$H$3:$H$16,MATCH($A30,MAC!$A$3:$A$16,0))</f>
        <v>28.686693628423974</v>
      </c>
      <c r="E30" s="18">
        <f t="shared" si="4"/>
        <v>0.56736906708167845</v>
      </c>
      <c r="F30" s="21"/>
      <c r="G30" s="55"/>
      <c r="H30" s="97" t="s">
        <v>37</v>
      </c>
      <c r="I30" s="97">
        <v>1841</v>
      </c>
      <c r="J30" s="97">
        <v>0</v>
      </c>
      <c r="K30" s="97">
        <f>'[1]Rapid 0.5'!K9</f>
        <v>3.04</v>
      </c>
      <c r="L30" s="97">
        <f>'[1]Rapid 0.5'!L9</f>
        <v>3541.5859999999998</v>
      </c>
      <c r="M30" s="5">
        <f t="shared" si="5"/>
        <v>58.152618257089685</v>
      </c>
      <c r="N30" s="6">
        <f>100*J30*K30*(L30*0.00000001^3)^2*M30/INDEX('Reference-aQuartz'!$H$4:$H$17,MATCH($B$22,'Reference-aQuartz'!$A$4:$A$17,0))</f>
        <v>0</v>
      </c>
      <c r="O30" s="32">
        <f t="shared" si="6"/>
        <v>0</v>
      </c>
      <c r="P30" s="32">
        <f t="shared" si="2"/>
        <v>0</v>
      </c>
      <c r="Q30" s="69"/>
      <c r="R30" s="98" t="s">
        <v>37</v>
      </c>
      <c r="S30" s="69">
        <f>'LA-Ref 0.5'!P9*0.65</f>
        <v>2.3605659551948133</v>
      </c>
      <c r="T30" s="69">
        <f>P30</f>
        <v>0</v>
      </c>
      <c r="U30" s="34">
        <f t="shared" ref="U30:U31" si="7">(S30-T30)/S30</f>
        <v>1</v>
      </c>
    </row>
    <row r="31" spans="1:48" x14ac:dyDescent="0.25">
      <c r="A31" s="1" t="s">
        <v>1</v>
      </c>
      <c r="B31" s="12">
        <f>0.65*'LA-Ref 0.5'!B10+0.35*B10</f>
        <v>44.395000000000003</v>
      </c>
      <c r="C31" s="18">
        <f t="shared" si="3"/>
        <v>44.345956766106845</v>
      </c>
      <c r="D31" s="18">
        <f>INDEX(MAC!$H$3:$H$16,MATCH($A31,MAC!$A$3:$A$16,0))</f>
        <v>124.77929454143408</v>
      </c>
      <c r="E31" s="18">
        <f t="shared" si="4"/>
        <v>55.33457201039748</v>
      </c>
      <c r="F31" s="21"/>
      <c r="G31" s="55"/>
      <c r="H31" s="97" t="s">
        <v>38</v>
      </c>
      <c r="I31" s="97">
        <v>98836</v>
      </c>
      <c r="J31" s="97">
        <v>0</v>
      </c>
      <c r="K31" s="97">
        <f>'[1]Rapid 0.5'!K10</f>
        <v>3.75</v>
      </c>
      <c r="L31" s="97">
        <f>'[1]Rapid 0.5'!L10</f>
        <v>430.91660000000002</v>
      </c>
      <c r="M31" s="5">
        <f t="shared" si="5"/>
        <v>58.152618257089685</v>
      </c>
      <c r="N31" s="6">
        <f>100*J31*K31*(L31*0.00000001^3)^2*M31/INDEX('Reference-aQuartz'!$H$4:$H$17,MATCH($B$22,'Reference-aQuartz'!$A$4:$A$17,0))</f>
        <v>0</v>
      </c>
      <c r="O31" s="32">
        <f t="shared" si="6"/>
        <v>0</v>
      </c>
      <c r="P31" s="32">
        <f t="shared" si="2"/>
        <v>0</v>
      </c>
      <c r="Q31" s="69"/>
      <c r="R31" s="98" t="s">
        <v>81</v>
      </c>
      <c r="S31" s="69">
        <f>'LA-Ref 0.5'!P10*0.65</f>
        <v>6.9948801462326609</v>
      </c>
      <c r="T31" s="69">
        <f>P31</f>
        <v>0</v>
      </c>
      <c r="U31" s="34">
        <f t="shared" si="7"/>
        <v>1</v>
      </c>
    </row>
    <row r="32" spans="1:48" x14ac:dyDescent="0.25">
      <c r="A32" s="1" t="s">
        <v>56</v>
      </c>
      <c r="B32" s="12">
        <f>0.65*'LA-Ref 0.5'!B11+0.35*B11</f>
        <v>0.32050000000000001</v>
      </c>
      <c r="C32" s="18">
        <f t="shared" si="3"/>
        <v>0.32014594309127703</v>
      </c>
      <c r="D32" s="18">
        <f>INDEX(MAC!$H$3:$H$16,MATCH($A32,MAC!$A$3:$A$16,0))</f>
        <v>122.32505440840811</v>
      </c>
      <c r="E32" s="18">
        <f t="shared" si="4"/>
        <v>0.39161869907271585</v>
      </c>
      <c r="F32" s="21"/>
      <c r="G32" s="55"/>
      <c r="H32" s="97" t="s">
        <v>40</v>
      </c>
      <c r="I32" s="97">
        <v>202220</v>
      </c>
      <c r="J32" s="97">
        <v>2.3427509999999999E-2</v>
      </c>
      <c r="K32" s="97">
        <v>2.2400000000000002</v>
      </c>
      <c r="L32" s="97">
        <v>54.879910000000002</v>
      </c>
      <c r="M32" s="5">
        <f t="shared" si="5"/>
        <v>58.152618257089685</v>
      </c>
      <c r="N32" s="6">
        <f>100*J32*K32*(L32*0.00000001^3)^2*M32/INDEX('Reference-aQuartz'!$H$4:$H$17,MATCH($B$22,'Reference-aQuartz'!$A$4:$A$17,0))</f>
        <v>10.773551619221442</v>
      </c>
      <c r="O32" s="32">
        <f t="shared" si="6"/>
        <v>19.88963375856266</v>
      </c>
      <c r="P32" s="32">
        <f t="shared" si="2"/>
        <v>12.92826194306573</v>
      </c>
      <c r="Q32" s="69">
        <v>13.4</v>
      </c>
      <c r="R32" s="98" t="s">
        <v>84</v>
      </c>
      <c r="S32" s="69">
        <f>SUM(S27:S31)</f>
        <v>58.346908787948472</v>
      </c>
      <c r="T32" s="69">
        <f>SUM(T27:T31)</f>
        <v>2.2585399674846478</v>
      </c>
    </row>
    <row r="33" spans="1:22" x14ac:dyDescent="0.25">
      <c r="A33" s="1" t="s">
        <v>57</v>
      </c>
      <c r="B33" s="12">
        <f>0.65*'LA-Ref 0.5'!B12+0.35*B12</f>
        <v>2.1250000000000004</v>
      </c>
      <c r="C33" s="18">
        <f t="shared" si="3"/>
        <v>2.1226525087955186</v>
      </c>
      <c r="D33" s="18">
        <f>INDEX(MAC!$H$3:$H$16,MATCH($A33,MAC!$A$3:$A$16,0))</f>
        <v>44.261072668681777</v>
      </c>
      <c r="E33" s="18">
        <f t="shared" si="4"/>
        <v>0.93950876942158135</v>
      </c>
      <c r="F33" s="21"/>
      <c r="G33" s="55"/>
      <c r="H33" s="97" t="s">
        <v>25</v>
      </c>
      <c r="I33" s="97">
        <v>73446</v>
      </c>
      <c r="J33" s="65">
        <v>4.0779999999999999E-5</v>
      </c>
      <c r="K33" s="97">
        <v>2.69</v>
      </c>
      <c r="L33" s="97">
        <v>372.57440000000003</v>
      </c>
      <c r="M33" s="5">
        <f t="shared" si="5"/>
        <v>58.152618257089685</v>
      </c>
      <c r="N33" s="6">
        <f>100*J33*K33*(L33*0.00000001^3)^2*M33/INDEX('Reference-aQuartz'!$H$4:$H$17,MATCH($B$22,'Reference-aQuartz'!$A$4:$A$17,0))</f>
        <v>1.0379668620232749</v>
      </c>
      <c r="O33" s="32">
        <f t="shared" si="6"/>
        <v>1.9162465145045076</v>
      </c>
      <c r="P33" s="32">
        <f t="shared" si="2"/>
        <v>1.24556023442793</v>
      </c>
      <c r="Q33" s="69">
        <v>1.7</v>
      </c>
    </row>
    <row r="34" spans="1:22" x14ac:dyDescent="0.25">
      <c r="A34" s="1" t="s">
        <v>14</v>
      </c>
      <c r="B34" s="12">
        <f>0.65*'LA-Ref 0.5'!B13+0.35*B13</f>
        <v>8.8000000000000009E-2</v>
      </c>
      <c r="C34" s="18">
        <f t="shared" si="3"/>
        <v>8.7902786246590897E-2</v>
      </c>
      <c r="D34" s="18">
        <f>INDEX(MAC!$H$3:$H$16,MATCH($A34,MAC!$A$3:$A$16,0))</f>
        <v>97.328178229861322</v>
      </c>
      <c r="E34" s="18">
        <f t="shared" si="4"/>
        <v>8.5554180467096008E-2</v>
      </c>
      <c r="F34" s="21"/>
      <c r="G34" s="55"/>
      <c r="H34" s="97" t="s">
        <v>21</v>
      </c>
      <c r="I34" s="97">
        <v>62405</v>
      </c>
      <c r="J34" s="65">
        <v>4.994E-5</v>
      </c>
      <c r="K34" s="97">
        <v>2.65</v>
      </c>
      <c r="L34" s="97">
        <v>113.20140000000001</v>
      </c>
      <c r="M34" s="5">
        <f t="shared" si="5"/>
        <v>58.152618257089685</v>
      </c>
      <c r="N34" s="6">
        <f>100*J34*K34*(L34*0.00000001^3)^2*M34/INDEX('Reference-aQuartz'!$H$4:$H$17,MATCH($B$22,'Reference-aQuartz'!$A$4:$A$17,0))</f>
        <v>0.11559950474326679</v>
      </c>
      <c r="O34" s="32">
        <f t="shared" si="6"/>
        <v>0.21341447029526175</v>
      </c>
      <c r="P34" s="32">
        <f t="shared" si="2"/>
        <v>0.13871940569192015</v>
      </c>
      <c r="Q34" s="69"/>
    </row>
    <row r="35" spans="1:22" x14ac:dyDescent="0.25">
      <c r="A35" s="1" t="s">
        <v>58</v>
      </c>
      <c r="B35" s="12">
        <f>0.65*'LA-Ref 0.5'!B14+0.35*B14</f>
        <v>4.9850000000000003</v>
      </c>
      <c r="C35" s="18">
        <f t="shared" si="3"/>
        <v>4.9794930618097224</v>
      </c>
      <c r="D35" s="18">
        <f>INDEX(MAC!$H$3:$H$16,MATCH($A35,MAC!$A$3:$A$16,0))</f>
        <v>19.10926020222594</v>
      </c>
      <c r="E35" s="18">
        <f t="shared" si="4"/>
        <v>0.95154428593300722</v>
      </c>
      <c r="F35" s="21"/>
      <c r="G35" s="55"/>
      <c r="H35" s="97" t="s">
        <v>87</v>
      </c>
      <c r="I35" s="97">
        <v>155395</v>
      </c>
      <c r="J35" s="65">
        <v>6.3500000000000002E-6</v>
      </c>
      <c r="K35" s="97">
        <v>1.79</v>
      </c>
      <c r="L35" s="97">
        <v>2332.1999999999998</v>
      </c>
      <c r="M35" s="5">
        <f t="shared" si="5"/>
        <v>58.152618257089685</v>
      </c>
      <c r="N35" s="6">
        <f>100*J35*K35*(L35*0.00000001^3)^2*M35/INDEX('Reference-aQuartz'!$H$4:$H$17,MATCH($B$22,'Reference-aQuartz'!$A$4:$A$17,0))</f>
        <v>4.2142112672309224</v>
      </c>
      <c r="O35" s="32">
        <f t="shared" si="6"/>
        <v>7.7800823395032408</v>
      </c>
      <c r="P35" s="32">
        <f t="shared" si="2"/>
        <v>5.0570535206771066</v>
      </c>
      <c r="Q35" s="69"/>
    </row>
    <row r="36" spans="1:22" x14ac:dyDescent="0.25">
      <c r="A36" s="1" t="s">
        <v>59</v>
      </c>
      <c r="B36" s="12">
        <f>0.65*'LA-Ref 0.5'!B15+0.35*B15</f>
        <v>0.14800000000000002</v>
      </c>
      <c r="C36" s="18">
        <f t="shared" si="3"/>
        <v>0.14783650414199376</v>
      </c>
      <c r="D36" s="18">
        <f>INDEX(MAC!$H$3:$H$16,MATCH($A36,MAC!$A$3:$A$16,0))</f>
        <v>124.47726788956365</v>
      </c>
      <c r="E36" s="18">
        <f t="shared" si="4"/>
        <v>0.18402284129939542</v>
      </c>
      <c r="F36" s="21"/>
      <c r="G36" s="55"/>
      <c r="H36" s="97" t="s">
        <v>88</v>
      </c>
      <c r="I36" s="97">
        <v>81963</v>
      </c>
      <c r="J36" s="97">
        <v>0</v>
      </c>
      <c r="K36" s="97">
        <v>2.14</v>
      </c>
      <c r="L36" s="97">
        <v>182.3938</v>
      </c>
      <c r="M36" s="5">
        <f t="shared" si="5"/>
        <v>58.152618257089685</v>
      </c>
      <c r="N36" s="6">
        <f>100*J36*K36*(L36*0.00000001^3)^2*M36/INDEX('Reference-aQuartz'!$H$4:$H$17,MATCH($B$22,'Reference-aQuartz'!$A$4:$A$17,0))</f>
        <v>0</v>
      </c>
      <c r="O36" s="32">
        <f t="shared" si="6"/>
        <v>0</v>
      </c>
      <c r="P36" s="32">
        <f t="shared" si="2"/>
        <v>0</v>
      </c>
      <c r="Q36" s="69"/>
    </row>
    <row r="37" spans="1:22" x14ac:dyDescent="0.25">
      <c r="A37" s="1" t="s">
        <v>60</v>
      </c>
      <c r="B37" s="12">
        <f>0.65*'LA-Ref 0.5'!B16+0.35*B16</f>
        <v>0.17250000000000001</v>
      </c>
      <c r="C37" s="18">
        <f t="shared" si="3"/>
        <v>0.17230943894928327</v>
      </c>
      <c r="D37" s="18">
        <f>INDEX(MAC!$H$3:$H$16,MATCH($A37,MAC!$A$3:$A$16,0))</f>
        <v>39.431437267071992</v>
      </c>
      <c r="E37" s="18">
        <f t="shared" si="4"/>
        <v>6.7944088324530347E-2</v>
      </c>
      <c r="F37" s="21"/>
      <c r="G37" s="55"/>
      <c r="H37" s="97" t="s">
        <v>89</v>
      </c>
      <c r="I37" s="97">
        <v>59327</v>
      </c>
      <c r="J37" s="65">
        <v>7.6810000000000005E-5</v>
      </c>
      <c r="K37" s="97">
        <v>2.16</v>
      </c>
      <c r="L37" s="97">
        <v>435.38029999999998</v>
      </c>
      <c r="M37" s="5">
        <f t="shared" si="5"/>
        <v>58.152618257089685</v>
      </c>
      <c r="N37" s="6">
        <f>100*J37*K37*(L37*0.00000001^3)^2*M37/INDEX('Reference-aQuartz'!$H$4:$H$17,MATCH($B$22,'Reference-aQuartz'!$A$4:$A$17,0))</f>
        <v>2.1437149191645721</v>
      </c>
      <c r="O37" s="32">
        <f t="shared" si="6"/>
        <v>3.9576275430730563</v>
      </c>
      <c r="P37" s="32">
        <f t="shared" si="2"/>
        <v>2.5724579029974866</v>
      </c>
      <c r="Q37" s="69"/>
    </row>
    <row r="38" spans="1:22" x14ac:dyDescent="0.25">
      <c r="A38" s="19" t="s">
        <v>23</v>
      </c>
      <c r="B38" s="12">
        <f>0.65*'LA-Ref 0.5'!B17+0.35*B17</f>
        <v>2.6250000000000002E-2</v>
      </c>
      <c r="C38" s="18">
        <f t="shared" si="3"/>
        <v>2.6221001579238755E-2</v>
      </c>
      <c r="D38" s="18">
        <f>INDEX(MAC!$H$3:$H$16,MATCH($A38,MAC!$A$3:$A$16,0))</f>
        <v>197.69998688868492</v>
      </c>
      <c r="E38" s="18">
        <f t="shared" si="4"/>
        <v>5.1838916684236881E-2</v>
      </c>
      <c r="F38" s="21"/>
      <c r="G38" s="55"/>
      <c r="H38" s="97" t="s">
        <v>90</v>
      </c>
      <c r="I38" s="97">
        <v>2105252</v>
      </c>
      <c r="J38" s="65">
        <v>2.48E-6</v>
      </c>
      <c r="K38" s="97">
        <v>1.82</v>
      </c>
      <c r="L38" s="97">
        <v>1417.6780000000001</v>
      </c>
      <c r="M38" s="5">
        <f t="shared" si="5"/>
        <v>58.152618257089685</v>
      </c>
      <c r="N38" s="6">
        <f>100*J38*K38*(L38*0.00000001^3)^2*M38/INDEX('Reference-aQuartz'!$H$4:$H$17,MATCH($B$22,'Reference-aQuartz'!$A$4:$A$17,0))</f>
        <v>0.61835266118781174</v>
      </c>
      <c r="O38" s="32">
        <f t="shared" si="6"/>
        <v>1.1415741437313447</v>
      </c>
      <c r="P38" s="32">
        <f t="shared" si="2"/>
        <v>0.74202319342537404</v>
      </c>
      <c r="Q38" s="69"/>
    </row>
    <row r="39" spans="1:22" x14ac:dyDescent="0.25">
      <c r="A39" s="1" t="s">
        <v>66</v>
      </c>
      <c r="B39" s="12">
        <f>0.65*'LA-Ref 0.5'!B18+0.35*B18</f>
        <v>2.1179999999999999</v>
      </c>
      <c r="C39" s="18">
        <f>B39</f>
        <v>2.1179999999999999</v>
      </c>
      <c r="D39" s="18">
        <f>INDEX(MAC!$H$3:$H$16,MATCH($A39,MAC!$A$3:$A$16,0))</f>
        <v>9.592279079279237</v>
      </c>
      <c r="E39" s="18">
        <f t="shared" si="4"/>
        <v>0.20316447089913425</v>
      </c>
      <c r="F39" s="21"/>
      <c r="G39" s="55"/>
      <c r="H39" s="97"/>
      <c r="I39" s="97"/>
      <c r="J39" s="97"/>
      <c r="K39" s="97"/>
      <c r="L39" s="97"/>
      <c r="M39" s="5">
        <f t="shared" si="5"/>
        <v>58.152618257089685</v>
      </c>
      <c r="N39" s="6">
        <f>100*J39*K39*(L39*0.00000001^3)^2*M39/INDEX('Reference-aQuartz'!$H$4:$H$17,MATCH($B$22,'Reference-aQuartz'!$A$4:$A$17,0))</f>
        <v>0</v>
      </c>
      <c r="O39" s="32">
        <f t="shared" si="6"/>
        <v>0</v>
      </c>
      <c r="P39" s="32">
        <f t="shared" si="2"/>
        <v>0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97"/>
      <c r="I40" s="97"/>
      <c r="J40" s="65"/>
      <c r="K40" s="97"/>
      <c r="L40" s="97"/>
      <c r="M40" s="5">
        <f t="shared" si="5"/>
        <v>58.152618257089685</v>
      </c>
      <c r="N40" s="6">
        <f>100*J40*K40*(L40*0.00000001^3)^2*M40/INDEX('Reference-aQuartz'!$H$4:$H$17,MATCH($B$22,'Reference-aQuartz'!$A$4:$A$17,0))</f>
        <v>0</v>
      </c>
      <c r="O40" s="32">
        <f t="shared" si="6"/>
        <v>0</v>
      </c>
      <c r="P40" s="32">
        <f t="shared" si="2"/>
        <v>0</v>
      </c>
    </row>
    <row r="41" spans="1:22" x14ac:dyDescent="0.25">
      <c r="A41" s="97" t="s">
        <v>7</v>
      </c>
      <c r="B41" s="40">
        <f>SUM(B27:B38)</f>
        <v>97.990249999999989</v>
      </c>
      <c r="C41" s="40">
        <f>SUM(C27:C39)</f>
        <v>100.00000000000003</v>
      </c>
      <c r="D41" s="97" t="s">
        <v>29</v>
      </c>
      <c r="E41" s="56">
        <f>SUM(E27:E39)</f>
        <v>78.679385520119794</v>
      </c>
      <c r="F41" s="57">
        <f>E41*(1-C23)+D40*C23</f>
        <v>58.152618257089685</v>
      </c>
      <c r="H41" s="107" t="s">
        <v>7</v>
      </c>
      <c r="I41" s="108"/>
      <c r="J41" s="108"/>
      <c r="K41" s="108"/>
      <c r="L41" s="108"/>
      <c r="M41" s="109"/>
      <c r="N41" s="6">
        <f>SUM(N27:N40)</f>
        <v>20.78551347314183</v>
      </c>
      <c r="O41" s="31">
        <f>SUM(O27:O40)</f>
        <v>38.373255642723379</v>
      </c>
      <c r="P41" s="31">
        <f>SUM(P27:P40)</f>
        <v>24.94261616777019</v>
      </c>
    </row>
    <row r="42" spans="1:22" x14ac:dyDescent="0.25">
      <c r="H42" s="107" t="s">
        <v>28</v>
      </c>
      <c r="I42" s="108"/>
      <c r="J42" s="108"/>
      <c r="K42" s="108"/>
      <c r="L42" s="108"/>
      <c r="M42" s="109"/>
      <c r="N42" s="6">
        <f>100-N41</f>
        <v>79.214486526858167</v>
      </c>
      <c r="O42" s="31">
        <f>100-O41</f>
        <v>61.626744357276621</v>
      </c>
      <c r="P42" s="31">
        <f>100-P41</f>
        <v>75.057383832229817</v>
      </c>
    </row>
    <row r="44" spans="1:22" x14ac:dyDescent="0.25">
      <c r="A44" s="42" t="s">
        <v>32</v>
      </c>
      <c r="B44" s="43">
        <v>44846</v>
      </c>
      <c r="C44" s="47" t="s">
        <v>85</v>
      </c>
      <c r="D44" s="48"/>
      <c r="E44" s="48" t="s">
        <v>77</v>
      </c>
      <c r="F44" s="49"/>
    </row>
    <row r="45" spans="1:22" x14ac:dyDescent="0.25">
      <c r="A45" s="44" t="s">
        <v>78</v>
      </c>
      <c r="B45" s="50"/>
      <c r="C45" s="51">
        <v>0.35</v>
      </c>
      <c r="D45" s="52"/>
      <c r="E45" s="52">
        <v>0.23</v>
      </c>
      <c r="F45" s="53"/>
    </row>
    <row r="46" spans="1:22" x14ac:dyDescent="0.25">
      <c r="H46" s="46" t="s">
        <v>6</v>
      </c>
      <c r="I46" s="28">
        <v>4</v>
      </c>
      <c r="J46" s="33"/>
    </row>
    <row r="47" spans="1:22" x14ac:dyDescent="0.25">
      <c r="A47" s="97" t="s">
        <v>8</v>
      </c>
      <c r="B47" s="97" t="s">
        <v>30</v>
      </c>
      <c r="C47" s="97" t="s">
        <v>31</v>
      </c>
      <c r="D47" s="97" t="s">
        <v>68</v>
      </c>
      <c r="E47" s="97" t="s">
        <v>69</v>
      </c>
      <c r="F47" s="97" t="s">
        <v>74</v>
      </c>
      <c r="G47" s="54"/>
      <c r="H47" s="97" t="s">
        <v>9</v>
      </c>
      <c r="I47" s="97" t="s">
        <v>86</v>
      </c>
      <c r="J47" s="97" t="s">
        <v>2</v>
      </c>
      <c r="K47" s="97" t="s">
        <v>3</v>
      </c>
      <c r="L47" s="97" t="s">
        <v>4</v>
      </c>
      <c r="M47" s="97" t="s">
        <v>5</v>
      </c>
      <c r="N47" s="5" t="s">
        <v>15</v>
      </c>
      <c r="O47" s="5" t="s">
        <v>15</v>
      </c>
      <c r="P47" s="5" t="s">
        <v>15</v>
      </c>
      <c r="Q47" s="97" t="s">
        <v>96</v>
      </c>
      <c r="R47" s="98"/>
      <c r="S47" s="97" t="s">
        <v>122</v>
      </c>
      <c r="T47" s="97" t="s">
        <v>123</v>
      </c>
      <c r="U47" s="97" t="s">
        <v>82</v>
      </c>
      <c r="V47" s="36" t="s">
        <v>83</v>
      </c>
    </row>
    <row r="48" spans="1:22" x14ac:dyDescent="0.25">
      <c r="A48" s="97" t="s">
        <v>11</v>
      </c>
      <c r="B48" s="97" t="s">
        <v>93</v>
      </c>
      <c r="C48" s="97" t="s">
        <v>93</v>
      </c>
      <c r="D48" s="97" t="s">
        <v>13</v>
      </c>
      <c r="E48" s="97" t="s">
        <v>13</v>
      </c>
      <c r="F48" s="97" t="s">
        <v>13</v>
      </c>
      <c r="G48" s="54"/>
      <c r="H48" s="97" t="s">
        <v>11</v>
      </c>
      <c r="I48" s="97" t="s">
        <v>11</v>
      </c>
      <c r="J48" s="97" t="s">
        <v>11</v>
      </c>
      <c r="K48" s="97" t="s">
        <v>16</v>
      </c>
      <c r="L48" s="97" t="s">
        <v>19</v>
      </c>
      <c r="M48" s="97" t="s">
        <v>13</v>
      </c>
      <c r="N48" s="5" t="s">
        <v>75</v>
      </c>
      <c r="O48" s="97" t="s">
        <v>113</v>
      </c>
      <c r="P48" s="97" t="s">
        <v>76</v>
      </c>
      <c r="Q48" s="97" t="s">
        <v>76</v>
      </c>
      <c r="R48" s="98"/>
      <c r="S48" s="97" t="s">
        <v>76</v>
      </c>
      <c r="T48" s="97" t="s">
        <v>76</v>
      </c>
      <c r="U48" s="97" t="s">
        <v>11</v>
      </c>
      <c r="V48" s="36" t="s">
        <v>11</v>
      </c>
    </row>
    <row r="49" spans="1:22" x14ac:dyDescent="0.25">
      <c r="A49" s="1" t="s">
        <v>53</v>
      </c>
      <c r="B49" s="12">
        <f>0.65*'LA-Ref 0.5'!B6+0.35*B6</f>
        <v>37.68</v>
      </c>
      <c r="C49" s="18">
        <f>B49*(100-B$39)/B$41</f>
        <v>37.638374838312998</v>
      </c>
      <c r="D49" s="18">
        <f>INDEX(MAC!$H$3:$H$16,MATCH($A49,MAC!$A$3:$A$16,0))</f>
        <v>35.900659077291785</v>
      </c>
      <c r="E49" s="18">
        <f>C49*D49/100</f>
        <v>13.512424632935922</v>
      </c>
      <c r="F49" s="21"/>
      <c r="G49" s="55"/>
      <c r="H49" s="97" t="s">
        <v>34</v>
      </c>
      <c r="I49" s="97"/>
      <c r="J49" s="65">
        <v>2.2999999999999999E-7</v>
      </c>
      <c r="K49" s="97">
        <f>'[1]Rapid 0.5'!K6</f>
        <v>3.15</v>
      </c>
      <c r="L49" s="97">
        <f>'[1]Rapid 0.5'!L6</f>
        <v>2166.0790000000002</v>
      </c>
      <c r="M49" s="5">
        <f>$F$63</f>
        <v>54.731490379918007</v>
      </c>
      <c r="N49" s="6">
        <f>100*J49*K49*(L49*0.00000001^3)^2*M49/INDEX('Reference-aQuartz'!$H$4:$H$17,MATCH($B$44,'Reference-aQuartz'!$A$4:$A$17,0))</f>
        <v>0.22919869936516654</v>
      </c>
      <c r="O49" s="32">
        <f>P49*100/65</f>
        <v>0.43371446187562279</v>
      </c>
      <c r="P49" s="32">
        <f t="shared" ref="P49:P62" si="8">N49*(1+$E$45)</f>
        <v>0.28191440021915481</v>
      </c>
      <c r="Q49" s="69"/>
      <c r="R49" s="110" t="s">
        <v>79</v>
      </c>
      <c r="S49" s="100">
        <f>('LA-Ref 0.5'!P6+'LA-Ref 0.5'!P7)*0.65</f>
        <v>42.364846282241693</v>
      </c>
      <c r="T49" s="100">
        <f>P49+P50</f>
        <v>0.28191440021915481</v>
      </c>
      <c r="U49" s="102">
        <f>(S49-T49)/S49</f>
        <v>0.99334555828809112</v>
      </c>
      <c r="V49" s="30">
        <f>(U49*S49+U51*S51+U52*S52+U53*S53)/S54</f>
        <v>0.98477145135222777</v>
      </c>
    </row>
    <row r="50" spans="1:22" x14ac:dyDescent="0.25">
      <c r="A50" s="1" t="s">
        <v>54</v>
      </c>
      <c r="B50" s="12">
        <f>0.65*'LA-Ref 0.5'!B7+0.35*B7</f>
        <v>3.6250000000000004</v>
      </c>
      <c r="C50" s="18">
        <f t="shared" ref="C50:C60" si="9">B50*(100-B$39)/B$41</f>
        <v>3.6209954561805904</v>
      </c>
      <c r="D50" s="18">
        <f>INDEX(MAC!$H$3:$H$16,MATCH($A50,MAC!$A$3:$A$16,0))</f>
        <v>31.664851266660783</v>
      </c>
      <c r="E50" s="18">
        <f t="shared" ref="E50:E61" si="10">C50*D50/100</f>
        <v>1.1465828255721291</v>
      </c>
      <c r="F50" s="21"/>
      <c r="G50" s="55"/>
      <c r="H50" s="97" t="s">
        <v>35</v>
      </c>
      <c r="I50" s="97">
        <v>94742</v>
      </c>
      <c r="J50" s="97">
        <v>0</v>
      </c>
      <c r="K50" s="97">
        <f>'[1]Rapid 0.5'!K7</f>
        <v>3.16</v>
      </c>
      <c r="L50" s="97">
        <f>'[1]Rapid 0.5'!L7</f>
        <v>4316.1279999999997</v>
      </c>
      <c r="M50" s="5">
        <f t="shared" ref="M50:M62" si="11">$F$63</f>
        <v>54.731490379918007</v>
      </c>
      <c r="N50" s="6">
        <f>100*J50*K50*(L50*0.00000001^3)^2*M50/INDEX('Reference-aQuartz'!$H$4:$H$17,MATCH($B$44,'Reference-aQuartz'!$A$4:$A$17,0))</f>
        <v>0</v>
      </c>
      <c r="O50" s="32">
        <f t="shared" ref="O50:O62" si="12">P50*100/65</f>
        <v>0</v>
      </c>
      <c r="P50" s="32">
        <f t="shared" si="8"/>
        <v>0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0.5'!B8+0.35*B8</f>
        <v>2.4449999999999998</v>
      </c>
      <c r="C51" s="18">
        <f t="shared" si="9"/>
        <v>2.4422990042376664</v>
      </c>
      <c r="D51" s="18">
        <f>INDEX(MAC!$H$3:$H$16,MATCH($A51,MAC!$A$3:$A$16,0))</f>
        <v>214.68463619455559</v>
      </c>
      <c r="E51" s="18">
        <f t="shared" si="10"/>
        <v>5.2432407320308876</v>
      </c>
      <c r="F51" s="21"/>
      <c r="G51" s="55"/>
      <c r="H51" s="97" t="s">
        <v>36</v>
      </c>
      <c r="I51" s="97">
        <v>81096</v>
      </c>
      <c r="J51" s="65">
        <v>1.844E-5</v>
      </c>
      <c r="K51" s="97">
        <f>'[1]Rapid 0.5'!K8</f>
        <v>3.29</v>
      </c>
      <c r="L51" s="97">
        <f>'[1]Rapid 0.5'!L8</f>
        <v>347.22930000000002</v>
      </c>
      <c r="M51" s="5">
        <f t="shared" si="11"/>
        <v>54.731490379918007</v>
      </c>
      <c r="N51" s="6">
        <f>100*J51*K51*(L51*0.00000001^3)^2*M51/INDEX('Reference-aQuartz'!$H$4:$H$17,MATCH($B$44,'Reference-aQuartz'!$A$4:$A$17,0))</f>
        <v>0.49319051927255508</v>
      </c>
      <c r="O51" s="32">
        <f t="shared" si="12"/>
        <v>0.93326821339268129</v>
      </c>
      <c r="P51" s="32">
        <f t="shared" si="8"/>
        <v>0.60662433870524279</v>
      </c>
      <c r="Q51" s="69"/>
      <c r="R51" s="98" t="s">
        <v>80</v>
      </c>
      <c r="S51" s="69">
        <f>'LA-Ref 0.5'!P8*0.65</f>
        <v>6.6266164042793037</v>
      </c>
      <c r="T51" s="69">
        <f>P51</f>
        <v>0.60662433870524279</v>
      </c>
      <c r="U51" s="34">
        <f>(S51-T51)/S51</f>
        <v>0.90845639739860307</v>
      </c>
    </row>
    <row r="52" spans="1:22" x14ac:dyDescent="0.25">
      <c r="A52" s="1" t="s">
        <v>0</v>
      </c>
      <c r="B52" s="12">
        <f>0.65*'LA-Ref 0.5'!B9+0.35*B9</f>
        <v>1.98</v>
      </c>
      <c r="C52" s="18">
        <f t="shared" si="9"/>
        <v>1.9778126905482947</v>
      </c>
      <c r="D52" s="18">
        <f>INDEX(MAC!$H$3:$H$16,MATCH($A52,MAC!$A$3:$A$16,0))</f>
        <v>28.686693628423974</v>
      </c>
      <c r="E52" s="18">
        <f t="shared" si="10"/>
        <v>0.56736906708167845</v>
      </c>
      <c r="F52" s="21"/>
      <c r="G52" s="55"/>
      <c r="H52" s="97" t="s">
        <v>37</v>
      </c>
      <c r="I52" s="97">
        <v>1841</v>
      </c>
      <c r="J52" s="97">
        <v>0</v>
      </c>
      <c r="K52" s="97">
        <f>'[1]Rapid 0.5'!K9</f>
        <v>3.04</v>
      </c>
      <c r="L52" s="97">
        <f>'[1]Rapid 0.5'!L9</f>
        <v>3541.5859999999998</v>
      </c>
      <c r="M52" s="5">
        <f t="shared" si="11"/>
        <v>54.731490379918007</v>
      </c>
      <c r="N52" s="6">
        <f>100*J52*K52*(L52*0.00000001^3)^2*M52/INDEX('Reference-aQuartz'!$H$4:$H$17,MATCH($B$44,'Reference-aQuartz'!$A$4:$A$17,0))</f>
        <v>0</v>
      </c>
      <c r="O52" s="32">
        <f t="shared" si="12"/>
        <v>0</v>
      </c>
      <c r="P52" s="32">
        <f t="shared" si="8"/>
        <v>0</v>
      </c>
      <c r="Q52" s="69"/>
      <c r="R52" s="98" t="s">
        <v>37</v>
      </c>
      <c r="S52" s="69">
        <f>'LA-Ref 0.5'!P9*0.65</f>
        <v>2.3605659551948133</v>
      </c>
      <c r="T52" s="69">
        <f>P52</f>
        <v>0</v>
      </c>
      <c r="U52" s="34">
        <f t="shared" ref="U52:U53" si="13">(S52-T52)/S52</f>
        <v>1</v>
      </c>
    </row>
    <row r="53" spans="1:22" x14ac:dyDescent="0.25">
      <c r="A53" s="1" t="s">
        <v>1</v>
      </c>
      <c r="B53" s="12">
        <f>0.65*'LA-Ref 0.5'!B10+0.35*B10</f>
        <v>44.395000000000003</v>
      </c>
      <c r="C53" s="18">
        <f t="shared" si="9"/>
        <v>44.345956766106845</v>
      </c>
      <c r="D53" s="18">
        <f>INDEX(MAC!$H$3:$H$16,MATCH($A53,MAC!$A$3:$A$16,0))</f>
        <v>124.77929454143408</v>
      </c>
      <c r="E53" s="18">
        <f t="shared" si="10"/>
        <v>55.33457201039748</v>
      </c>
      <c r="F53" s="21"/>
      <c r="G53" s="55"/>
      <c r="H53" s="97" t="s">
        <v>38</v>
      </c>
      <c r="I53" s="97">
        <v>98836</v>
      </c>
      <c r="J53" s="97">
        <v>0</v>
      </c>
      <c r="K53" s="97">
        <f>'[1]Rapid 0.5'!K10</f>
        <v>3.75</v>
      </c>
      <c r="L53" s="97">
        <f>'[1]Rapid 0.5'!L10</f>
        <v>430.91660000000002</v>
      </c>
      <c r="M53" s="5">
        <f t="shared" si="11"/>
        <v>54.731490379918007</v>
      </c>
      <c r="N53" s="6">
        <f>100*J53*K53*(L53*0.00000001^3)^2*M53/INDEX('Reference-aQuartz'!$H$4:$H$17,MATCH($B$44,'Reference-aQuartz'!$A$4:$A$17,0))</f>
        <v>0</v>
      </c>
      <c r="O53" s="32">
        <f t="shared" si="12"/>
        <v>0</v>
      </c>
      <c r="P53" s="32">
        <f t="shared" si="8"/>
        <v>0</v>
      </c>
      <c r="Q53" s="69"/>
      <c r="R53" s="98" t="s">
        <v>81</v>
      </c>
      <c r="S53" s="69">
        <f>'LA-Ref 0.5'!P10*0.65</f>
        <v>6.9948801462326609</v>
      </c>
      <c r="T53" s="69">
        <f>P53</f>
        <v>0</v>
      </c>
      <c r="U53" s="34">
        <f t="shared" si="13"/>
        <v>1</v>
      </c>
    </row>
    <row r="54" spans="1:22" x14ac:dyDescent="0.25">
      <c r="A54" s="1" t="s">
        <v>56</v>
      </c>
      <c r="B54" s="12">
        <f>0.65*'LA-Ref 0.5'!B11+0.35*B11</f>
        <v>0.32050000000000001</v>
      </c>
      <c r="C54" s="18">
        <f t="shared" si="9"/>
        <v>0.32014594309127703</v>
      </c>
      <c r="D54" s="18">
        <f>INDEX(MAC!$H$3:$H$16,MATCH($A54,MAC!$A$3:$A$16,0))</f>
        <v>122.32505440840811</v>
      </c>
      <c r="E54" s="18">
        <f t="shared" si="10"/>
        <v>0.39161869907271585</v>
      </c>
      <c r="F54" s="21"/>
      <c r="G54" s="55"/>
      <c r="H54" s="97" t="s">
        <v>40</v>
      </c>
      <c r="I54" s="97">
        <v>202220</v>
      </c>
      <c r="J54" s="97">
        <v>2.2147920000000001E-2</v>
      </c>
      <c r="K54" s="97">
        <v>2.2400000000000002</v>
      </c>
      <c r="L54" s="97">
        <v>54.903109999999998</v>
      </c>
      <c r="M54" s="5">
        <f t="shared" si="11"/>
        <v>54.731490379918007</v>
      </c>
      <c r="N54" s="6">
        <f>100*J54*K54*(L54*0.00000001^3)^2*M54/INDEX('Reference-aQuartz'!$H$4:$H$17,MATCH($B$44,'Reference-aQuartz'!$A$4:$A$17,0))</f>
        <v>10.083238305766718</v>
      </c>
      <c r="O54" s="32">
        <f t="shared" si="12"/>
        <v>19.080589409373943</v>
      </c>
      <c r="P54" s="32">
        <f t="shared" si="8"/>
        <v>12.402383116093063</v>
      </c>
      <c r="Q54" s="69">
        <v>13</v>
      </c>
      <c r="R54" s="98" t="s">
        <v>84</v>
      </c>
      <c r="S54" s="69">
        <f>SUM(S49:S53)</f>
        <v>58.346908787948472</v>
      </c>
      <c r="T54" s="69">
        <f>SUM(T49:T53)</f>
        <v>0.88853873892439761</v>
      </c>
    </row>
    <row r="55" spans="1:22" x14ac:dyDescent="0.25">
      <c r="A55" s="1" t="s">
        <v>57</v>
      </c>
      <c r="B55" s="12">
        <f>0.65*'LA-Ref 0.5'!B12+0.35*B12</f>
        <v>2.1250000000000004</v>
      </c>
      <c r="C55" s="18">
        <f t="shared" si="9"/>
        <v>2.1226525087955186</v>
      </c>
      <c r="D55" s="18">
        <f>INDEX(MAC!$H$3:$H$16,MATCH($A55,MAC!$A$3:$A$16,0))</f>
        <v>44.261072668681777</v>
      </c>
      <c r="E55" s="18">
        <f t="shared" si="10"/>
        <v>0.93950876942158135</v>
      </c>
      <c r="F55" s="21"/>
      <c r="G55" s="55"/>
      <c r="H55" s="97" t="s">
        <v>25</v>
      </c>
      <c r="I55" s="97">
        <v>73446</v>
      </c>
      <c r="J55" s="65">
        <v>3.3460000000000002E-5</v>
      </c>
      <c r="K55" s="97">
        <v>2.67</v>
      </c>
      <c r="L55" s="97">
        <v>373.09890000000001</v>
      </c>
      <c r="M55" s="5">
        <f t="shared" si="11"/>
        <v>54.731490379918007</v>
      </c>
      <c r="N55" s="6">
        <f>100*J55*K55*(L55*0.00000001^3)^2*M55/INDEX('Reference-aQuartz'!$H$4:$H$17,MATCH($B$44,'Reference-aQuartz'!$A$4:$A$17,0))</f>
        <v>0.83851398518235809</v>
      </c>
      <c r="O55" s="32">
        <f t="shared" si="12"/>
        <v>1.5867264642681544</v>
      </c>
      <c r="P55" s="32">
        <f t="shared" si="8"/>
        <v>1.0313722017743003</v>
      </c>
      <c r="Q55" s="69">
        <v>3</v>
      </c>
    </row>
    <row r="56" spans="1:22" x14ac:dyDescent="0.25">
      <c r="A56" s="1" t="s">
        <v>14</v>
      </c>
      <c r="B56" s="12">
        <f>0.65*'LA-Ref 0.5'!B13+0.35*B13</f>
        <v>8.8000000000000009E-2</v>
      </c>
      <c r="C56" s="18">
        <f t="shared" si="9"/>
        <v>8.7902786246590897E-2</v>
      </c>
      <c r="D56" s="18">
        <f>INDEX(MAC!$H$3:$H$16,MATCH($A56,MAC!$A$3:$A$16,0))</f>
        <v>97.328178229861322</v>
      </c>
      <c r="E56" s="18">
        <f t="shared" si="10"/>
        <v>8.5554180467096008E-2</v>
      </c>
      <c r="F56" s="21"/>
      <c r="G56" s="55"/>
      <c r="H56" s="97" t="s">
        <v>21</v>
      </c>
      <c r="I56" s="97">
        <v>62405</v>
      </c>
      <c r="J56" s="65">
        <v>5.024E-5</v>
      </c>
      <c r="K56" s="97">
        <v>2.64</v>
      </c>
      <c r="L56" s="97">
        <v>113.58199999999999</v>
      </c>
      <c r="M56" s="5">
        <f t="shared" si="11"/>
        <v>54.731490379918007</v>
      </c>
      <c r="N56" s="6">
        <f>100*J56*K56*(L56*0.00000001^3)^2*M56/INDEX('Reference-aQuartz'!$H$4:$H$17,MATCH($B$44,'Reference-aQuartz'!$A$4:$A$17,0))</f>
        <v>0.11537129197769878</v>
      </c>
      <c r="O56" s="32">
        <f t="shared" si="12"/>
        <v>0.21831798328087618</v>
      </c>
      <c r="P56" s="32">
        <f t="shared" si="8"/>
        <v>0.14190668913256951</v>
      </c>
      <c r="Q56" s="69"/>
    </row>
    <row r="57" spans="1:22" x14ac:dyDescent="0.25">
      <c r="A57" s="1" t="s">
        <v>58</v>
      </c>
      <c r="B57" s="12">
        <f>0.65*'LA-Ref 0.5'!B14+0.35*B14</f>
        <v>4.9850000000000003</v>
      </c>
      <c r="C57" s="18">
        <f t="shared" si="9"/>
        <v>4.9794930618097224</v>
      </c>
      <c r="D57" s="18">
        <f>INDEX(MAC!$H$3:$H$16,MATCH($A57,MAC!$A$3:$A$16,0))</f>
        <v>19.10926020222594</v>
      </c>
      <c r="E57" s="18">
        <f t="shared" si="10"/>
        <v>0.95154428593300722</v>
      </c>
      <c r="F57" s="21"/>
      <c r="G57" s="55"/>
      <c r="H57" s="97" t="s">
        <v>87</v>
      </c>
      <c r="I57" s="97">
        <v>155395</v>
      </c>
      <c r="J57" s="65">
        <v>6.2600000000000002E-6</v>
      </c>
      <c r="K57" s="97">
        <v>1.79</v>
      </c>
      <c r="L57" s="97">
        <v>2332.3200000000002</v>
      </c>
      <c r="M57" s="5">
        <f t="shared" si="11"/>
        <v>54.731490379918007</v>
      </c>
      <c r="N57" s="6">
        <f>100*J57*K57*(L57*0.00000001^3)^2*M57/INDEX('Reference-aQuartz'!$H$4:$H$17,MATCH($B$44,'Reference-aQuartz'!$A$4:$A$17,0))</f>
        <v>4.1098768834496893</v>
      </c>
      <c r="O57" s="32">
        <f t="shared" si="12"/>
        <v>7.7771516409894108</v>
      </c>
      <c r="P57" s="32">
        <f t="shared" si="8"/>
        <v>5.0551485666431173</v>
      </c>
      <c r="Q57" s="69"/>
    </row>
    <row r="58" spans="1:22" x14ac:dyDescent="0.25">
      <c r="A58" s="1" t="s">
        <v>59</v>
      </c>
      <c r="B58" s="12">
        <f>0.65*'LA-Ref 0.5'!B15+0.35*B15</f>
        <v>0.14800000000000002</v>
      </c>
      <c r="C58" s="18">
        <f t="shared" si="9"/>
        <v>0.14783650414199376</v>
      </c>
      <c r="D58" s="18">
        <f>INDEX(MAC!$H$3:$H$16,MATCH($A58,MAC!$A$3:$A$16,0))</f>
        <v>124.47726788956365</v>
      </c>
      <c r="E58" s="18">
        <f t="shared" si="10"/>
        <v>0.18402284129939542</v>
      </c>
      <c r="F58" s="21"/>
      <c r="G58" s="55"/>
      <c r="H58" s="97" t="s">
        <v>88</v>
      </c>
      <c r="I58" s="97">
        <v>81963</v>
      </c>
      <c r="J58" s="97">
        <v>0</v>
      </c>
      <c r="K58" s="97">
        <v>2.14</v>
      </c>
      <c r="L58" s="97">
        <v>182.2544</v>
      </c>
      <c r="M58" s="5">
        <f t="shared" si="11"/>
        <v>54.731490379918007</v>
      </c>
      <c r="N58" s="6">
        <f>100*J58*K58*(L58*0.00000001^3)^2*M58/INDEX('Reference-aQuartz'!$H$4:$H$17,MATCH($B$44,'Reference-aQuartz'!$A$4:$A$17,0))</f>
        <v>0</v>
      </c>
      <c r="O58" s="32">
        <f t="shared" si="12"/>
        <v>0</v>
      </c>
      <c r="P58" s="32">
        <f t="shared" si="8"/>
        <v>0</v>
      </c>
      <c r="Q58" s="69"/>
    </row>
    <row r="59" spans="1:22" x14ac:dyDescent="0.25">
      <c r="A59" s="1" t="s">
        <v>60</v>
      </c>
      <c r="B59" s="12">
        <f>0.65*'LA-Ref 0.5'!B16+0.35*B16</f>
        <v>0.17250000000000001</v>
      </c>
      <c r="C59" s="18">
        <f t="shared" si="9"/>
        <v>0.17230943894928327</v>
      </c>
      <c r="D59" s="18">
        <f>INDEX(MAC!$H$3:$H$16,MATCH($A59,MAC!$A$3:$A$16,0))</f>
        <v>39.431437267071992</v>
      </c>
      <c r="E59" s="18">
        <f t="shared" si="10"/>
        <v>6.7944088324530347E-2</v>
      </c>
      <c r="F59" s="21"/>
      <c r="G59" s="55"/>
      <c r="H59" s="97" t="s">
        <v>89</v>
      </c>
      <c r="I59" s="97">
        <v>59327</v>
      </c>
      <c r="J59" s="97">
        <v>1.042E-4</v>
      </c>
      <c r="K59" s="97">
        <v>2.16</v>
      </c>
      <c r="L59" s="97">
        <v>436.46469999999999</v>
      </c>
      <c r="M59" s="5">
        <f t="shared" si="11"/>
        <v>54.731490379918007</v>
      </c>
      <c r="N59" s="6">
        <f>100*J59*K59*(L59*0.00000001^3)^2*M59/INDEX('Reference-aQuartz'!$H$4:$H$17,MATCH($B$44,'Reference-aQuartz'!$A$4:$A$17,0))</f>
        <v>2.8909787221906242</v>
      </c>
      <c r="O59" s="32">
        <f t="shared" si="12"/>
        <v>5.470621274299182</v>
      </c>
      <c r="P59" s="32">
        <f t="shared" si="8"/>
        <v>3.5559038282944679</v>
      </c>
      <c r="Q59" s="69"/>
    </row>
    <row r="60" spans="1:22" x14ac:dyDescent="0.25">
      <c r="A60" s="19" t="s">
        <v>23</v>
      </c>
      <c r="B60" s="12">
        <f>0.65*'LA-Ref 0.5'!B17+0.35*B17</f>
        <v>2.6250000000000002E-2</v>
      </c>
      <c r="C60" s="18">
        <f t="shared" si="9"/>
        <v>2.6221001579238755E-2</v>
      </c>
      <c r="D60" s="18">
        <f>INDEX(MAC!$H$3:$H$16,MATCH($A60,MAC!$A$3:$A$16,0))</f>
        <v>197.69998688868492</v>
      </c>
      <c r="E60" s="18">
        <f t="shared" si="10"/>
        <v>5.1838916684236881E-2</v>
      </c>
      <c r="F60" s="21"/>
      <c r="G60" s="55"/>
      <c r="H60" s="97" t="s">
        <v>90</v>
      </c>
      <c r="I60" s="97">
        <v>2105252</v>
      </c>
      <c r="J60" s="65">
        <v>2.6E-7</v>
      </c>
      <c r="K60" s="97">
        <v>1.85</v>
      </c>
      <c r="L60" s="97">
        <v>1392.7729999999999</v>
      </c>
      <c r="M60" s="5">
        <f t="shared" si="11"/>
        <v>54.731490379918007</v>
      </c>
      <c r="N60" s="6">
        <f>100*J60*K60*(L60*0.00000001^3)^2*M60/INDEX('Reference-aQuartz'!$H$4:$H$17,MATCH($B$44,'Reference-aQuartz'!$A$4:$A$17,0))</f>
        <v>6.2911628843585463E-2</v>
      </c>
      <c r="O60" s="32">
        <f t="shared" si="12"/>
        <v>0.11904815919632326</v>
      </c>
      <c r="P60" s="32">
        <f t="shared" si="8"/>
        <v>7.7381303477610117E-2</v>
      </c>
      <c r="Q60" s="69"/>
    </row>
    <row r="61" spans="1:22" x14ac:dyDescent="0.25">
      <c r="A61" s="1" t="s">
        <v>66</v>
      </c>
      <c r="B61" s="12">
        <f>0.65*'LA-Ref 0.5'!B18+0.35*B18</f>
        <v>2.1179999999999999</v>
      </c>
      <c r="C61" s="18">
        <f>B61</f>
        <v>2.1179999999999999</v>
      </c>
      <c r="D61" s="18">
        <f>INDEX(MAC!$H$3:$H$16,MATCH($A61,MAC!$A$3:$A$16,0))</f>
        <v>9.592279079279237</v>
      </c>
      <c r="E61" s="18">
        <f t="shared" si="10"/>
        <v>0.20316447089913425</v>
      </c>
      <c r="F61" s="21"/>
      <c r="G61" s="55"/>
      <c r="H61" s="97"/>
      <c r="I61" s="97"/>
      <c r="J61" s="65"/>
      <c r="K61" s="97"/>
      <c r="L61" s="97"/>
      <c r="M61" s="5">
        <f t="shared" si="11"/>
        <v>54.731490379918007</v>
      </c>
      <c r="N61" s="6">
        <f>100*J61*K61*(L61*0.00000001^3)^2*M61/INDEX('Reference-aQuartz'!$H$4:$H$17,MATCH($B$44,'Reference-aQuartz'!$A$4:$A$17,0))</f>
        <v>0</v>
      </c>
      <c r="O61" s="32">
        <f t="shared" si="12"/>
        <v>0</v>
      </c>
      <c r="P61" s="32">
        <f t="shared" si="8"/>
        <v>0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97"/>
      <c r="I62" s="97"/>
      <c r="J62" s="65"/>
      <c r="K62" s="97"/>
      <c r="L62" s="97"/>
      <c r="M62" s="5">
        <f t="shared" si="11"/>
        <v>54.731490379918007</v>
      </c>
      <c r="N62" s="6">
        <f>100*J62*K62*(L62*0.00000001^3)^2*M62/INDEX('Reference-aQuartz'!$H$4:$H$17,MATCH($B$44,'Reference-aQuartz'!$A$4:$A$17,0))</f>
        <v>0</v>
      </c>
      <c r="O62" s="32">
        <f t="shared" si="12"/>
        <v>0</v>
      </c>
      <c r="P62" s="32">
        <f t="shared" si="8"/>
        <v>0</v>
      </c>
      <c r="Q62" s="97"/>
    </row>
    <row r="63" spans="1:22" x14ac:dyDescent="0.25">
      <c r="A63" s="97" t="s">
        <v>7</v>
      </c>
      <c r="B63" s="40">
        <f>SUM(B49:B60)</f>
        <v>97.990249999999989</v>
      </c>
      <c r="C63" s="40">
        <f>SUM(C49:C61)</f>
        <v>100.00000000000003</v>
      </c>
      <c r="D63" s="97" t="s">
        <v>29</v>
      </c>
      <c r="E63" s="56">
        <f>SUM(E49:E61)</f>
        <v>78.679385520119794</v>
      </c>
      <c r="F63" s="57">
        <f>E63*(1-C45)+D62*C45</f>
        <v>54.731490379918007</v>
      </c>
      <c r="H63" s="107" t="s">
        <v>7</v>
      </c>
      <c r="I63" s="108"/>
      <c r="J63" s="108"/>
      <c r="K63" s="108"/>
      <c r="L63" s="108"/>
      <c r="M63" s="109"/>
      <c r="N63" s="6">
        <f>SUM(N49:N62)</f>
        <v>18.823280036048395</v>
      </c>
      <c r="O63" s="31">
        <f>SUM(O49:O62)</f>
        <v>35.619437606676193</v>
      </c>
      <c r="P63" s="31">
        <f>SUM(P49:P62)</f>
        <v>23.15263444433953</v>
      </c>
    </row>
    <row r="64" spans="1:22" x14ac:dyDescent="0.25">
      <c r="H64" s="107" t="s">
        <v>28</v>
      </c>
      <c r="I64" s="108"/>
      <c r="J64" s="108"/>
      <c r="K64" s="108"/>
      <c r="L64" s="108"/>
      <c r="M64" s="109"/>
      <c r="N64" s="6">
        <f>100-N63</f>
        <v>81.176719963951598</v>
      </c>
      <c r="O64" s="31">
        <f>100-O63</f>
        <v>64.3805623933238</v>
      </c>
      <c r="P64" s="31">
        <f>100-P63</f>
        <v>76.847365555660474</v>
      </c>
    </row>
  </sheetData>
  <mergeCells count="14">
    <mergeCell ref="H63:M63"/>
    <mergeCell ref="H64:M64"/>
    <mergeCell ref="H41:M41"/>
    <mergeCell ref="H42:M42"/>
    <mergeCell ref="R49:R50"/>
    <mergeCell ref="S49:S50"/>
    <mergeCell ref="T49:T50"/>
    <mergeCell ref="U49:U50"/>
    <mergeCell ref="H18:M18"/>
    <mergeCell ref="H19:M19"/>
    <mergeCell ref="R27:R28"/>
    <mergeCell ref="S27:S28"/>
    <mergeCell ref="T27:T28"/>
    <mergeCell ref="U27:U2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4BEDB-6A46-4999-9CB9-96A091AD7CC0}">
  <sheetPr>
    <tabColor theme="9"/>
  </sheetPr>
  <dimension ref="A1:AV64"/>
  <sheetViews>
    <sheetView tabSelected="1" zoomScaleNormal="100" workbookViewId="0">
      <selection activeCell="F1" sqref="F1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8.570312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42" t="s">
        <v>32</v>
      </c>
      <c r="B1" s="43">
        <v>44687</v>
      </c>
      <c r="H1" s="38" t="s">
        <v>20</v>
      </c>
      <c r="I1" s="38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97" t="s">
        <v>8</v>
      </c>
      <c r="B4" s="97" t="s">
        <v>30</v>
      </c>
      <c r="C4" s="97" t="s">
        <v>31</v>
      </c>
      <c r="D4" s="97" t="s">
        <v>68</v>
      </c>
      <c r="E4" s="97" t="s">
        <v>69</v>
      </c>
      <c r="H4" s="97" t="s">
        <v>9</v>
      </c>
      <c r="I4" s="97" t="s">
        <v>86</v>
      </c>
      <c r="J4" s="97" t="s">
        <v>2</v>
      </c>
      <c r="K4" s="97" t="s">
        <v>3</v>
      </c>
      <c r="L4" s="97" t="s">
        <v>4</v>
      </c>
      <c r="M4" s="97" t="s">
        <v>5</v>
      </c>
      <c r="N4" s="5" t="s">
        <v>15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97" t="s">
        <v>11</v>
      </c>
      <c r="B5" s="97" t="s">
        <v>93</v>
      </c>
      <c r="C5" s="97" t="s">
        <v>93</v>
      </c>
      <c r="D5" s="97" t="s">
        <v>13</v>
      </c>
      <c r="E5" s="97" t="s">
        <v>13</v>
      </c>
      <c r="H5" s="97" t="s">
        <v>11</v>
      </c>
      <c r="I5" s="97" t="s">
        <v>11</v>
      </c>
      <c r="J5" s="97" t="s">
        <v>11</v>
      </c>
      <c r="K5" s="97" t="s">
        <v>16</v>
      </c>
      <c r="L5" s="97" t="s">
        <v>19</v>
      </c>
      <c r="M5" s="97" t="s">
        <v>13</v>
      </c>
      <c r="N5" s="5" t="s">
        <v>12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72</v>
      </c>
      <c r="C6" s="18">
        <f t="shared" ref="C6:C17" si="0">B6*(100-B$18)/B$19</f>
        <v>71.971185592796402</v>
      </c>
      <c r="D6" s="18">
        <f>INDEX(MAC!$H$3:$H$16,MATCH('LA-GB_f'!$A6,MAC!$A$3:$A$16,0))</f>
        <v>35.900659077291785</v>
      </c>
      <c r="E6" s="18">
        <f>C6*D6/100</f>
        <v>25.838129973554778</v>
      </c>
      <c r="F6" s="39"/>
      <c r="G6" s="39"/>
      <c r="H6" s="97"/>
      <c r="I6" s="97"/>
      <c r="J6" s="97"/>
      <c r="K6" s="97"/>
      <c r="L6" s="97"/>
      <c r="M6" s="5"/>
      <c r="N6" s="6">
        <f>100*J6*K6*(L6*0.00000001^3)^2*M6/INDEX('Reference-aQuartz'!$H$4:$H$17,MATCH($B$1,'Reference-aQuartz'!$A$4:$A$17,0))</f>
        <v>0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0.7</v>
      </c>
      <c r="C7" s="18">
        <f t="shared" si="0"/>
        <v>0.69971985992996499</v>
      </c>
      <c r="D7" s="18">
        <f>INDEX(MAC!$H$3:$H$16,MATCH('LA-GB_f'!$A7,MAC!$A$3:$A$16,0))</f>
        <v>31.664851266660783</v>
      </c>
      <c r="E7" s="18">
        <f t="shared" ref="E7:E18" si="1">C7*D7/100</f>
        <v>0.22156525293011056</v>
      </c>
      <c r="F7" s="39"/>
      <c r="G7" s="39"/>
      <c r="H7" s="97"/>
      <c r="I7" s="97"/>
      <c r="J7" s="97"/>
      <c r="K7" s="97"/>
      <c r="L7" s="97"/>
      <c r="M7" s="5"/>
      <c r="N7" s="6">
        <f>100*J7*K7*(L7*0.00000001^3)^2*M7/INDEX('Reference-aQuartz'!$H$4:$H$17,MATCH($B$1,'Reference-aQuartz'!$A$4:$A$17,0))</f>
        <v>0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0.17</v>
      </c>
      <c r="C8" s="18">
        <f t="shared" si="0"/>
        <v>0.16993196598299151</v>
      </c>
      <c r="D8" s="18">
        <f>INDEX(MAC!$H$3:$H$16,MATCH('LA-GB_f'!$A8,MAC!$A$3:$A$16,0))</f>
        <v>214.68463619455559</v>
      </c>
      <c r="E8" s="18">
        <f t="shared" si="1"/>
        <v>0.36481782294884124</v>
      </c>
      <c r="F8" s="39"/>
      <c r="G8" s="39"/>
      <c r="H8" s="97"/>
      <c r="I8" s="97"/>
      <c r="J8" s="97"/>
      <c r="K8" s="97"/>
      <c r="L8" s="97"/>
      <c r="M8" s="5"/>
      <c r="N8" s="6">
        <f>100*J8*K8*(L8*0.00000001^3)^2*M8/INDEX('Reference-aQuartz'!$H$4:$H$17,MATCH($B$1,'Reference-aQuartz'!$A$4:$A$17,0))</f>
        <v>0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3.8</v>
      </c>
      <c r="C9" s="18">
        <f t="shared" si="0"/>
        <v>3.7984792396198097</v>
      </c>
      <c r="D9" s="18">
        <f>INDEX(MAC!$H$3:$H$16,MATCH('LA-GB_f'!$A9,MAC!$A$3:$A$16,0))</f>
        <v>28.686693628423974</v>
      </c>
      <c r="E9" s="18">
        <f t="shared" si="1"/>
        <v>1.0896581020090235</v>
      </c>
      <c r="F9" s="39"/>
      <c r="G9" s="39"/>
      <c r="H9" s="97"/>
      <c r="I9" s="97"/>
      <c r="J9" s="97"/>
      <c r="K9" s="97"/>
      <c r="L9" s="97"/>
      <c r="M9" s="5"/>
      <c r="N9" s="6">
        <f>100*J9*K9*(L9*0.00000001^3)^2*M9/INDEX('Reference-aQuartz'!$H$4:$H$17,MATCH($B$1,'Reference-aQuartz'!$A$4:$A$17,0))</f>
        <v>0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9.1</v>
      </c>
      <c r="C10" s="18">
        <f t="shared" si="0"/>
        <v>9.0963581790895454</v>
      </c>
      <c r="D10" s="18">
        <f>INDEX(MAC!$H$3:$H$16,MATCH('LA-GB_f'!$A10,MAC!$A$3:$A$16,0))</f>
        <v>124.77929454143408</v>
      </c>
      <c r="E10" s="18">
        <f t="shared" si="1"/>
        <v>11.350371564829976</v>
      </c>
      <c r="F10" s="39"/>
      <c r="G10" s="39"/>
      <c r="H10" s="97"/>
      <c r="I10" s="97"/>
      <c r="J10" s="97"/>
      <c r="K10" s="97"/>
      <c r="L10" s="97"/>
      <c r="M10" s="5"/>
      <c r="N10" s="6">
        <f>100*J10*K10*(L10*0.00000001^3)^2*M10/INDEX('Reference-aQuartz'!$H$4:$H$17,MATCH($B$1,'Reference-aQuartz'!$A$4:$A$17,0))</f>
        <v>0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0.21</v>
      </c>
      <c r="C11" s="18">
        <f t="shared" si="0"/>
        <v>0.20991595797898949</v>
      </c>
      <c r="D11" s="18">
        <f>INDEX(MAC!$H$3:$H$16,MATCH('LA-GB_f'!$A11,MAC!$A$3:$A$16,0))</f>
        <v>122.32505440840811</v>
      </c>
      <c r="E11" s="18">
        <f t="shared" si="1"/>
        <v>0.25677980980973003</v>
      </c>
      <c r="F11" s="39"/>
      <c r="G11" s="39"/>
      <c r="H11" s="26"/>
      <c r="I11" s="97"/>
      <c r="J11" s="97"/>
      <c r="K11" s="97"/>
      <c r="L11" s="97"/>
      <c r="M11" s="5"/>
      <c r="N11" s="6">
        <f>100*J11*K11*(L11*0.00000001^3)^2*M11/INDEX('Reference-aQuartz'!$H$4:$H$17,MATCH($B$1,'Reference-aQuartz'!$A$4:$A$17,0))</f>
        <v>0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0.24</v>
      </c>
      <c r="C12" s="18">
        <f t="shared" si="0"/>
        <v>0.23990395197598799</v>
      </c>
      <c r="D12" s="18">
        <f>INDEX(MAC!$H$3:$H$16,MATCH('LA-GB_f'!$A12,MAC!$A$3:$A$16,0))</f>
        <v>44.261072668681777</v>
      </c>
      <c r="E12" s="18">
        <f t="shared" si="1"/>
        <v>0.10618406251913148</v>
      </c>
      <c r="F12" s="39"/>
      <c r="G12" s="39"/>
      <c r="H12" s="97"/>
      <c r="I12" s="97"/>
      <c r="J12" s="97"/>
      <c r="K12" s="97"/>
      <c r="L12" s="97"/>
      <c r="M12" s="5"/>
      <c r="N12" s="6">
        <f>100*J12*K12*(L12*0.00000001^3)^2*M12/INDEX('Reference-aQuartz'!$H$4:$H$17,MATCH($B$1,'Reference-aQuartz'!$A$4:$A$17,0))</f>
        <v>0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0.01</v>
      </c>
      <c r="C13" s="18">
        <f t="shared" si="0"/>
        <v>9.9959979989995007E-3</v>
      </c>
      <c r="D13" s="18">
        <f>INDEX(MAC!$H$3:$H$16,MATCH('LA-GB_f'!$A13,MAC!$A$3:$A$16,0))</f>
        <v>97.328178229861322</v>
      </c>
      <c r="E13" s="18">
        <f t="shared" si="1"/>
        <v>9.7289227483196052E-3</v>
      </c>
      <c r="F13" s="39"/>
      <c r="G13" s="39"/>
      <c r="H13" s="97"/>
      <c r="I13" s="97"/>
      <c r="J13" s="97"/>
      <c r="K13" s="97"/>
      <c r="L13" s="97"/>
      <c r="M13" s="5"/>
      <c r="N13" s="6">
        <f>100*J13*K13*(L13*0.00000001^3)^2*M13/INDEX('Reference-aQuartz'!$H$4:$H$17,MATCH($B$1,'Reference-aQuartz'!$A$4:$A$17,0))</f>
        <v>0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13.63</v>
      </c>
      <c r="C14" s="18">
        <f t="shared" si="0"/>
        <v>13.62454527263632</v>
      </c>
      <c r="D14" s="18">
        <f>INDEX(MAC!$H$3:$H$16,MATCH('LA-GB_f'!$A14,MAC!$A$3:$A$16,0))</f>
        <v>19.10926020222594</v>
      </c>
      <c r="E14" s="18">
        <f t="shared" si="1"/>
        <v>2.603549807518148</v>
      </c>
      <c r="F14" s="39"/>
      <c r="G14" s="39"/>
      <c r="H14" s="97"/>
      <c r="I14" s="97"/>
      <c r="J14" s="97"/>
      <c r="K14" s="97"/>
      <c r="L14" s="97"/>
      <c r="M14" s="5"/>
      <c r="N14" s="6">
        <f>100*J14*K14*(L14*0.00000001^3)^2*M14/INDEX('Reference-aQuartz'!$H$4:$H$17,MATCH($B$1,'Reference-aQuartz'!$A$4:$A$17,0))</f>
        <v>0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7.0000000000000007E-2</v>
      </c>
      <c r="C15" s="18">
        <f t="shared" si="0"/>
        <v>6.9971985992996505E-2</v>
      </c>
      <c r="D15" s="18">
        <f>INDEX(MAC!$H$3:$H$16,MATCH('LA-GB_f'!$A15,MAC!$A$3:$A$16,0))</f>
        <v>124.47726788956365</v>
      </c>
      <c r="E15" s="18">
        <f t="shared" si="1"/>
        <v>8.7099216452150199E-2</v>
      </c>
      <c r="F15" s="39"/>
      <c r="G15" s="39"/>
      <c r="H15" s="97"/>
      <c r="I15" s="97"/>
      <c r="J15" s="97"/>
      <c r="K15" s="97"/>
      <c r="L15" s="97"/>
      <c r="M15" s="5"/>
      <c r="N15" s="6">
        <f>100*J15*K15*(L15*0.00000001^3)^2*M15/INDEX('Reference-aQuartz'!$H$4:$H$17,MATCH($B$1,'Reference-aQuartz'!$A$4:$A$17,0))</f>
        <v>0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5">
        <v>0.01</v>
      </c>
      <c r="C16" s="18">
        <f t="shared" si="0"/>
        <v>9.9959979989995007E-3</v>
      </c>
      <c r="D16" s="18">
        <f>INDEX(MAC!$H$3:$H$16,MATCH('LA-GB_f'!$A16,MAC!$A$3:$A$16,0))</f>
        <v>39.431437267071992</v>
      </c>
      <c r="E16" s="18">
        <f t="shared" si="1"/>
        <v>3.9415656801932595E-3</v>
      </c>
      <c r="F16" s="39"/>
      <c r="G16" s="39"/>
      <c r="H16" s="97"/>
      <c r="I16" s="97"/>
      <c r="J16" s="97"/>
      <c r="K16" s="97"/>
      <c r="L16" s="97"/>
      <c r="M16" s="5"/>
      <c r="N16" s="6">
        <f>100*J16*K16*(L16*0.00000001^3)^2*M16/INDEX('Reference-aQuartz'!$H$4:$H$17,MATCH($B$1,'Reference-aQuartz'!$A$4:$A$17,0))</f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5">
        <v>0.01</v>
      </c>
      <c r="C17" s="18">
        <f t="shared" si="0"/>
        <v>9.9959979989995007E-3</v>
      </c>
      <c r="D17" s="18">
        <f>INDEX(MAC!$H$3:$H$16,MATCH('LA-GB_f'!$A17,MAC!$A$3:$A$16,0))</f>
        <v>197.69998688868492</v>
      </c>
      <c r="E17" s="18">
        <f t="shared" si="1"/>
        <v>1.9762086733415219E-2</v>
      </c>
      <c r="H17" s="21"/>
      <c r="I17" s="21"/>
      <c r="J17" s="21"/>
      <c r="K17" s="21"/>
      <c r="L17" s="21"/>
      <c r="M17" s="5"/>
      <c r="N17" s="37">
        <f>100*J17*K17*(L17*0.00000001^3)^2*M17/INDEX('Reference-aQuartz'!$H$4:$H$17,MATCH($B$1,'Reference-aQuartz'!$A$4:$A$17,0))</f>
        <v>0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0.09</v>
      </c>
      <c r="C18" s="18">
        <f>B18</f>
        <v>0.09</v>
      </c>
      <c r="D18" s="18">
        <f>INDEX(MAC!$H$3:$H$16,MATCH('LA-GB_f'!$A18,MAC!$A$3:$A$16,0))</f>
        <v>9.592279079279237</v>
      </c>
      <c r="E18" s="18">
        <f t="shared" si="1"/>
        <v>8.6330511713513126E-3</v>
      </c>
      <c r="H18" s="104" t="s">
        <v>7</v>
      </c>
      <c r="I18" s="105"/>
      <c r="J18" s="105"/>
      <c r="K18" s="105"/>
      <c r="L18" s="105"/>
      <c r="M18" s="106"/>
      <c r="N18" s="37">
        <f>SUM(N6:N17)</f>
        <v>0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97" t="s">
        <v>7</v>
      </c>
      <c r="B19" s="40">
        <f>SUM(B6:B17)</f>
        <v>99.949999999999989</v>
      </c>
      <c r="C19" s="40">
        <f>SUM(C6:C18)</f>
        <v>100.00000000000003</v>
      </c>
      <c r="D19" s="97" t="s">
        <v>29</v>
      </c>
      <c r="E19" s="41">
        <f>SUM(E6:E18)</f>
        <v>41.960221238905177</v>
      </c>
      <c r="H19" s="107" t="s">
        <v>28</v>
      </c>
      <c r="I19" s="108"/>
      <c r="J19" s="108"/>
      <c r="K19" s="108"/>
      <c r="L19" s="108"/>
      <c r="M19" s="109"/>
      <c r="N19" s="37">
        <f>100-N18</f>
        <v>100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44964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0.35</v>
      </c>
      <c r="D23" s="52"/>
      <c r="E23" s="52">
        <v>0.23</v>
      </c>
      <c r="F23" s="53"/>
    </row>
    <row r="24" spans="1:48" x14ac:dyDescent="0.25">
      <c r="H24" s="46" t="s">
        <v>6</v>
      </c>
      <c r="I24" s="28">
        <v>4.0599999999999996</v>
      </c>
      <c r="J24" s="33"/>
    </row>
    <row r="25" spans="1:48" x14ac:dyDescent="0.25">
      <c r="A25" s="97" t="s">
        <v>8</v>
      </c>
      <c r="B25" s="97" t="s">
        <v>30</v>
      </c>
      <c r="C25" s="97" t="s">
        <v>31</v>
      </c>
      <c r="D25" s="97" t="s">
        <v>68</v>
      </c>
      <c r="E25" s="97" t="s">
        <v>69</v>
      </c>
      <c r="F25" s="97" t="s">
        <v>74</v>
      </c>
      <c r="G25" s="54"/>
      <c r="H25" s="97" t="s">
        <v>9</v>
      </c>
      <c r="I25" s="97" t="s">
        <v>86</v>
      </c>
      <c r="J25" s="97" t="s">
        <v>2</v>
      </c>
      <c r="K25" s="97" t="s">
        <v>3</v>
      </c>
      <c r="L25" s="97" t="s">
        <v>4</v>
      </c>
      <c r="M25" s="97" t="s">
        <v>5</v>
      </c>
      <c r="N25" s="5" t="s">
        <v>15</v>
      </c>
      <c r="O25" s="5" t="s">
        <v>15</v>
      </c>
      <c r="P25" s="5" t="s">
        <v>15</v>
      </c>
      <c r="Q25" s="97" t="s">
        <v>96</v>
      </c>
      <c r="R25" s="98"/>
      <c r="S25" s="97" t="s">
        <v>122</v>
      </c>
      <c r="T25" s="97" t="s">
        <v>123</v>
      </c>
      <c r="U25" s="97" t="s">
        <v>82</v>
      </c>
      <c r="V25" s="36" t="s">
        <v>83</v>
      </c>
    </row>
    <row r="26" spans="1:48" x14ac:dyDescent="0.25">
      <c r="A26" s="97" t="s">
        <v>11</v>
      </c>
      <c r="B26" s="97" t="s">
        <v>93</v>
      </c>
      <c r="C26" s="97" t="s">
        <v>93</v>
      </c>
      <c r="D26" s="97" t="s">
        <v>13</v>
      </c>
      <c r="E26" s="97" t="s">
        <v>13</v>
      </c>
      <c r="F26" s="97" t="s">
        <v>13</v>
      </c>
      <c r="G26" s="54"/>
      <c r="H26" s="97" t="s">
        <v>11</v>
      </c>
      <c r="I26" s="97" t="s">
        <v>11</v>
      </c>
      <c r="J26" s="97" t="s">
        <v>11</v>
      </c>
      <c r="K26" s="97" t="s">
        <v>16</v>
      </c>
      <c r="L26" s="97" t="s">
        <v>19</v>
      </c>
      <c r="M26" s="97" t="s">
        <v>13</v>
      </c>
      <c r="N26" s="5" t="s">
        <v>75</v>
      </c>
      <c r="O26" s="97" t="s">
        <v>113</v>
      </c>
      <c r="P26" s="97" t="s">
        <v>76</v>
      </c>
      <c r="Q26" s="97" t="s">
        <v>76</v>
      </c>
      <c r="R26" s="98"/>
      <c r="S26" s="97" t="s">
        <v>76</v>
      </c>
      <c r="T26" s="97" t="s">
        <v>76</v>
      </c>
      <c r="U26" s="97" t="s">
        <v>11</v>
      </c>
      <c r="V26" s="36" t="s">
        <v>11</v>
      </c>
    </row>
    <row r="27" spans="1:48" x14ac:dyDescent="0.25">
      <c r="A27" s="1" t="s">
        <v>53</v>
      </c>
      <c r="B27" s="12">
        <f>0.65*'LA-Ref 0.5'!B6+0.35*B6</f>
        <v>37.68</v>
      </c>
      <c r="C27" s="18">
        <f>B27*(100-B$39)/B$41</f>
        <v>37.638374838312998</v>
      </c>
      <c r="D27" s="18">
        <f>INDEX(MAC!$H$3:$H$16,MATCH($A27,MAC!$A$3:$A$16,0))</f>
        <v>35.900659077291785</v>
      </c>
      <c r="E27" s="18">
        <f>C27*D27/100</f>
        <v>13.512424632935922</v>
      </c>
      <c r="F27" s="21"/>
      <c r="G27" s="55"/>
      <c r="H27" s="97" t="s">
        <v>34</v>
      </c>
      <c r="I27" s="97"/>
      <c r="J27" s="65">
        <v>6.4000000000000001E-7</v>
      </c>
      <c r="K27" s="97">
        <f>'[1]Rapid 0.5'!K6</f>
        <v>3.15</v>
      </c>
      <c r="L27" s="97">
        <f>'[1]Rapid 0.5'!L6</f>
        <v>2166.0790000000002</v>
      </c>
      <c r="M27" s="5">
        <f>$F$41</f>
        <v>54.731490379918007</v>
      </c>
      <c r="N27" s="6">
        <f>100*J27*K27*(L27*0.00000001^3)^2*M27/INDEX('Reference-aQuartz'!$H$4:$H$17,MATCH($B$22,'Reference-aQuartz'!$A$4:$A$17,0))</f>
        <v>0.68833156356338299</v>
      </c>
      <c r="O27" s="32">
        <f>P27*100/65</f>
        <v>1.3025351125891709</v>
      </c>
      <c r="P27" s="32">
        <f t="shared" ref="P27:P40" si="2">N27*(1+$E$23)</f>
        <v>0.84664782318296106</v>
      </c>
      <c r="Q27" s="69"/>
      <c r="R27" s="110" t="s">
        <v>79</v>
      </c>
      <c r="S27" s="100">
        <f>('LA-Ref 0.5'!P6+'LA-Ref 0.5'!P7)*0.65</f>
        <v>42.364846282241693</v>
      </c>
      <c r="T27" s="100">
        <f>P27+P28</f>
        <v>0.84664782318296106</v>
      </c>
      <c r="U27" s="102">
        <f>(S27-T27)/S27</f>
        <v>0.9800153217235239</v>
      </c>
      <c r="V27" s="30">
        <f>(U27*S27+U29*S29+U30*S30+U31*S31)/S32</f>
        <v>0.94014368013337168</v>
      </c>
    </row>
    <row r="28" spans="1:48" x14ac:dyDescent="0.25">
      <c r="A28" s="1" t="s">
        <v>54</v>
      </c>
      <c r="B28" s="12">
        <f>0.65*'LA-Ref 0.5'!B7+0.35*B7</f>
        <v>3.6250000000000004</v>
      </c>
      <c r="C28" s="18">
        <f t="shared" ref="C28:C38" si="3">B28*(100-B$39)/B$41</f>
        <v>3.6209954561805904</v>
      </c>
      <c r="D28" s="18">
        <f>INDEX(MAC!$H$3:$H$16,MATCH($A28,MAC!$A$3:$A$16,0))</f>
        <v>31.664851266660783</v>
      </c>
      <c r="E28" s="18">
        <f t="shared" ref="E28:E39" si="4">C28*D28/100</f>
        <v>1.1465828255721291</v>
      </c>
      <c r="F28" s="21"/>
      <c r="G28" s="55"/>
      <c r="H28" s="97" t="s">
        <v>35</v>
      </c>
      <c r="I28" s="97">
        <v>94742</v>
      </c>
      <c r="J28" s="97">
        <v>0</v>
      </c>
      <c r="K28" s="97">
        <f>'[1]Rapid 0.5'!K7</f>
        <v>3.16</v>
      </c>
      <c r="L28" s="97">
        <f>'[1]Rapid 0.5'!L7</f>
        <v>4316.1279999999997</v>
      </c>
      <c r="M28" s="5">
        <f t="shared" ref="M28:M40" si="5">$F$41</f>
        <v>54.731490379918007</v>
      </c>
      <c r="N28" s="6">
        <f>100*J28*K28*(L28*0.00000001^3)^2*M28/INDEX('Reference-aQuartz'!$H$4:$H$17,MATCH($B$22,'Reference-aQuartz'!$A$4:$A$17,0))</f>
        <v>0</v>
      </c>
      <c r="O28" s="32">
        <f t="shared" ref="O28:O40" si="6">P28*100/65</f>
        <v>0</v>
      </c>
      <c r="P28" s="32">
        <f t="shared" si="2"/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0.5'!B8+0.35*B8</f>
        <v>2.4449999999999998</v>
      </c>
      <c r="C29" s="18">
        <f t="shared" si="3"/>
        <v>2.4422990042376664</v>
      </c>
      <c r="D29" s="18">
        <f>INDEX(MAC!$H$3:$H$16,MATCH($A29,MAC!$A$3:$A$16,0))</f>
        <v>214.68463619455559</v>
      </c>
      <c r="E29" s="18">
        <f t="shared" si="4"/>
        <v>5.2432407320308876</v>
      </c>
      <c r="F29" s="21"/>
      <c r="G29" s="55"/>
      <c r="H29" s="97" t="s">
        <v>36</v>
      </c>
      <c r="I29" s="97">
        <v>81096</v>
      </c>
      <c r="J29" s="65">
        <v>6.546E-5</v>
      </c>
      <c r="K29" s="97">
        <f>'[1]Rapid 0.5'!K8</f>
        <v>3.29</v>
      </c>
      <c r="L29" s="97">
        <f>'[1]Rapid 0.5'!L8</f>
        <v>347.22930000000002</v>
      </c>
      <c r="M29" s="5">
        <f t="shared" si="5"/>
        <v>54.731490379918007</v>
      </c>
      <c r="N29" s="6">
        <f>100*J29*K29*(L29*0.00000001^3)^2*M29/INDEX('Reference-aQuartz'!$H$4:$H$17,MATCH($B$22,'Reference-aQuartz'!$A$4:$A$17,0))</f>
        <v>1.8895709415146913</v>
      </c>
      <c r="O29" s="32">
        <f t="shared" si="6"/>
        <v>3.575649627789339</v>
      </c>
      <c r="P29" s="32">
        <f t="shared" si="2"/>
        <v>2.3241722580630704</v>
      </c>
      <c r="Q29" s="69"/>
      <c r="R29" s="98" t="s">
        <v>80</v>
      </c>
      <c r="S29" s="69">
        <f>'LA-Ref 0.5'!P8*0.65</f>
        <v>6.6266164042793037</v>
      </c>
      <c r="T29" s="69">
        <f>P29</f>
        <v>2.3241722580630704</v>
      </c>
      <c r="U29" s="34">
        <f>(S29-T29)/S29</f>
        <v>0.64926711970800399</v>
      </c>
    </row>
    <row r="30" spans="1:48" x14ac:dyDescent="0.25">
      <c r="A30" s="1" t="s">
        <v>0</v>
      </c>
      <c r="B30" s="12">
        <f>0.65*'LA-Ref 0.5'!B9+0.35*B9</f>
        <v>1.98</v>
      </c>
      <c r="C30" s="18">
        <f t="shared" si="3"/>
        <v>1.9778126905482947</v>
      </c>
      <c r="D30" s="18">
        <f>INDEX(MAC!$H$3:$H$16,MATCH($A30,MAC!$A$3:$A$16,0))</f>
        <v>28.686693628423974</v>
      </c>
      <c r="E30" s="18">
        <f t="shared" si="4"/>
        <v>0.56736906708167845</v>
      </c>
      <c r="F30" s="21"/>
      <c r="G30" s="55"/>
      <c r="H30" s="97" t="s">
        <v>37</v>
      </c>
      <c r="I30" s="97">
        <v>1841</v>
      </c>
      <c r="J30" s="97">
        <v>0</v>
      </c>
      <c r="K30" s="97">
        <f>'[1]Rapid 0.5'!K9</f>
        <v>3.04</v>
      </c>
      <c r="L30" s="97">
        <f>'[1]Rapid 0.5'!L9</f>
        <v>3541.5859999999998</v>
      </c>
      <c r="M30" s="5">
        <f t="shared" si="5"/>
        <v>54.731490379918007</v>
      </c>
      <c r="N30" s="6">
        <f>100*J30*K30*(L30*0.00000001^3)^2*M30/INDEX('Reference-aQuartz'!$H$4:$H$17,MATCH($B$22,'Reference-aQuartz'!$A$4:$A$17,0))</f>
        <v>0</v>
      </c>
      <c r="O30" s="32">
        <f t="shared" si="6"/>
        <v>0</v>
      </c>
      <c r="P30" s="32">
        <f t="shared" si="2"/>
        <v>0</v>
      </c>
      <c r="Q30" s="69"/>
      <c r="R30" s="98" t="s">
        <v>37</v>
      </c>
      <c r="S30" s="69">
        <f>'LA-Ref 0.5'!P9*0.65</f>
        <v>2.3605659551948133</v>
      </c>
      <c r="T30" s="69">
        <f>P30</f>
        <v>0</v>
      </c>
      <c r="U30" s="34">
        <f t="shared" ref="U30:U31" si="7">(S30-T30)/S30</f>
        <v>1</v>
      </c>
    </row>
    <row r="31" spans="1:48" x14ac:dyDescent="0.25">
      <c r="A31" s="1" t="s">
        <v>1</v>
      </c>
      <c r="B31" s="12">
        <f>0.65*'LA-Ref 0.5'!B10+0.35*B10</f>
        <v>44.395000000000003</v>
      </c>
      <c r="C31" s="18">
        <f t="shared" si="3"/>
        <v>44.345956766106845</v>
      </c>
      <c r="D31" s="18">
        <f>INDEX(MAC!$H$3:$H$16,MATCH($A31,MAC!$A$3:$A$16,0))</f>
        <v>124.77929454143408</v>
      </c>
      <c r="E31" s="18">
        <f t="shared" si="4"/>
        <v>55.33457201039748</v>
      </c>
      <c r="F31" s="21"/>
      <c r="G31" s="55"/>
      <c r="H31" s="97" t="s">
        <v>38</v>
      </c>
      <c r="I31" s="97">
        <v>98836</v>
      </c>
      <c r="J31" s="65">
        <v>5.1599999999999997E-6</v>
      </c>
      <c r="K31" s="97">
        <f>'[1]Rapid 0.5'!K10</f>
        <v>3.75</v>
      </c>
      <c r="L31" s="97">
        <f>'[1]Rapid 0.5'!L10</f>
        <v>430.91660000000002</v>
      </c>
      <c r="M31" s="5">
        <f t="shared" si="5"/>
        <v>54.731490379918007</v>
      </c>
      <c r="N31" s="6">
        <f>100*J31*K31*(L31*0.00000001^3)^2*M31/INDEX('Reference-aQuartz'!$H$4:$H$17,MATCH($B$22,'Reference-aQuartz'!$A$4:$A$17,0))</f>
        <v>0.26147248324748007</v>
      </c>
      <c r="O31" s="32">
        <f t="shared" si="6"/>
        <v>0.49478639137600072</v>
      </c>
      <c r="P31" s="32">
        <f t="shared" si="2"/>
        <v>0.32161115439440047</v>
      </c>
      <c r="Q31" s="69"/>
      <c r="R31" s="98" t="s">
        <v>81</v>
      </c>
      <c r="S31" s="69">
        <f>'LA-Ref 0.5'!P10*0.65</f>
        <v>6.9948801462326609</v>
      </c>
      <c r="T31" s="69">
        <f>P31</f>
        <v>0.32161115439440047</v>
      </c>
      <c r="U31" s="34">
        <f t="shared" si="7"/>
        <v>0.95402192065183344</v>
      </c>
    </row>
    <row r="32" spans="1:48" x14ac:dyDescent="0.25">
      <c r="A32" s="1" t="s">
        <v>56</v>
      </c>
      <c r="B32" s="12">
        <f>0.65*'LA-Ref 0.5'!B11+0.35*B11</f>
        <v>0.32050000000000001</v>
      </c>
      <c r="C32" s="18">
        <f t="shared" si="3"/>
        <v>0.32014594309127703</v>
      </c>
      <c r="D32" s="18">
        <f>INDEX(MAC!$H$3:$H$16,MATCH($A32,MAC!$A$3:$A$16,0))</f>
        <v>122.32505440840811</v>
      </c>
      <c r="E32" s="18">
        <f t="shared" si="4"/>
        <v>0.39161869907271585</v>
      </c>
      <c r="F32" s="21"/>
      <c r="G32" s="55"/>
      <c r="H32" s="97" t="s">
        <v>40</v>
      </c>
      <c r="I32" s="97">
        <v>202220</v>
      </c>
      <c r="J32" s="97">
        <v>1.5870680000000002E-2</v>
      </c>
      <c r="K32" s="97">
        <v>2.2400000000000002</v>
      </c>
      <c r="L32" s="97">
        <v>54.856769999999997</v>
      </c>
      <c r="M32" s="5">
        <f t="shared" si="5"/>
        <v>54.731490379918007</v>
      </c>
      <c r="N32" s="6">
        <f>100*J32*K32*(L32*0.00000001^3)^2*M32/INDEX('Reference-aQuartz'!$H$4:$H$17,MATCH($B$22,'Reference-aQuartz'!$A$4:$A$17,0))</f>
        <v>7.7850712464508112</v>
      </c>
      <c r="O32" s="32">
        <f t="shared" si="6"/>
        <v>14.731750204822305</v>
      </c>
      <c r="P32" s="32">
        <f t="shared" si="2"/>
        <v>9.5756376331344981</v>
      </c>
      <c r="Q32" s="69">
        <v>10.7</v>
      </c>
      <c r="R32" s="98" t="s">
        <v>84</v>
      </c>
      <c r="S32" s="69">
        <f>SUM(S27:S31)</f>
        <v>58.346908787948472</v>
      </c>
      <c r="T32" s="69">
        <f>SUM(T27:T31)</f>
        <v>3.4924312356404315</v>
      </c>
    </row>
    <row r="33" spans="1:22" x14ac:dyDescent="0.25">
      <c r="A33" s="1" t="s">
        <v>57</v>
      </c>
      <c r="B33" s="12">
        <f>0.65*'LA-Ref 0.5'!B12+0.35*B12</f>
        <v>2.1250000000000004</v>
      </c>
      <c r="C33" s="18">
        <f t="shared" si="3"/>
        <v>2.1226525087955186</v>
      </c>
      <c r="D33" s="18">
        <f>INDEX(MAC!$H$3:$H$16,MATCH($A33,MAC!$A$3:$A$16,0))</f>
        <v>44.261072668681777</v>
      </c>
      <c r="E33" s="18">
        <f t="shared" si="4"/>
        <v>0.93950876942158135</v>
      </c>
      <c r="F33" s="21"/>
      <c r="G33" s="55"/>
      <c r="H33" s="97" t="s">
        <v>25</v>
      </c>
      <c r="I33" s="97">
        <v>73446</v>
      </c>
      <c r="J33" s="65">
        <v>4.125E-5</v>
      </c>
      <c r="K33" s="97">
        <v>2.68</v>
      </c>
      <c r="L33" s="97">
        <v>372.08049999999997</v>
      </c>
      <c r="M33" s="5">
        <f t="shared" si="5"/>
        <v>54.731490379918007</v>
      </c>
      <c r="N33" s="6">
        <f>100*J33*K33*(L33*0.00000001^3)^2*M33/INDEX('Reference-aQuartz'!$H$4:$H$17,MATCH($B$22,'Reference-aQuartz'!$A$4:$A$17,0))</f>
        <v>1.1137587786669774</v>
      </c>
      <c r="O33" s="32">
        <f t="shared" si="6"/>
        <v>2.1075743042467416</v>
      </c>
      <c r="P33" s="32">
        <f t="shared" si="2"/>
        <v>1.3699232977603821</v>
      </c>
      <c r="Q33" s="69">
        <v>2.6</v>
      </c>
    </row>
    <row r="34" spans="1:22" x14ac:dyDescent="0.25">
      <c r="A34" s="1" t="s">
        <v>14</v>
      </c>
      <c r="B34" s="12">
        <f>0.65*'LA-Ref 0.5'!B13+0.35*B13</f>
        <v>8.8000000000000009E-2</v>
      </c>
      <c r="C34" s="18">
        <f t="shared" si="3"/>
        <v>8.7902786246590897E-2</v>
      </c>
      <c r="D34" s="18">
        <f>INDEX(MAC!$H$3:$H$16,MATCH($A34,MAC!$A$3:$A$16,0))</f>
        <v>97.328178229861322</v>
      </c>
      <c r="E34" s="18">
        <f t="shared" si="4"/>
        <v>8.5554180467096008E-2</v>
      </c>
      <c r="F34" s="21"/>
      <c r="G34" s="55"/>
      <c r="H34" s="97" t="s">
        <v>21</v>
      </c>
      <c r="I34" s="97">
        <v>62405</v>
      </c>
      <c r="J34" s="65">
        <v>6.58E-5</v>
      </c>
      <c r="K34" s="97">
        <v>2.65</v>
      </c>
      <c r="L34" s="97">
        <v>112.8961</v>
      </c>
      <c r="M34" s="5">
        <f t="shared" si="5"/>
        <v>54.731490379918007</v>
      </c>
      <c r="N34" s="6">
        <f>100*J34*K34*(L34*0.00000001^3)^2*M34/INDEX('Reference-aQuartz'!$H$4:$H$17,MATCH($B$22,'Reference-aQuartz'!$A$4:$A$17,0))</f>
        <v>0.16172911853093364</v>
      </c>
      <c r="O34" s="32">
        <f t="shared" si="6"/>
        <v>0.3060412550662282</v>
      </c>
      <c r="P34" s="32">
        <f t="shared" si="2"/>
        <v>0.19892681579304836</v>
      </c>
      <c r="Q34" s="69"/>
    </row>
    <row r="35" spans="1:22" x14ac:dyDescent="0.25">
      <c r="A35" s="1" t="s">
        <v>58</v>
      </c>
      <c r="B35" s="12">
        <f>0.65*'LA-Ref 0.5'!B14+0.35*B14</f>
        <v>4.9850000000000003</v>
      </c>
      <c r="C35" s="18">
        <f t="shared" si="3"/>
        <v>4.9794930618097224</v>
      </c>
      <c r="D35" s="18">
        <f>INDEX(MAC!$H$3:$H$16,MATCH($A35,MAC!$A$3:$A$16,0))</f>
        <v>19.10926020222594</v>
      </c>
      <c r="E35" s="18">
        <f t="shared" si="4"/>
        <v>0.95154428593300722</v>
      </c>
      <c r="F35" s="21"/>
      <c r="G35" s="55"/>
      <c r="H35" s="97" t="s">
        <v>87</v>
      </c>
      <c r="I35" s="97">
        <v>155395</v>
      </c>
      <c r="J35" s="65">
        <v>5.1200000000000001E-6</v>
      </c>
      <c r="K35" s="97">
        <v>1.79</v>
      </c>
      <c r="L35" s="97">
        <v>2333.1260000000002</v>
      </c>
      <c r="M35" s="5">
        <f t="shared" si="5"/>
        <v>54.731490379918007</v>
      </c>
      <c r="N35" s="6">
        <f>100*J35*K35*(L35*0.00000001^3)^2*M35/INDEX('Reference-aQuartz'!$H$4:$H$17,MATCH($B$22,'Reference-aQuartz'!$A$4:$A$17,0))</f>
        <v>3.6304290343936905</v>
      </c>
      <c r="O35" s="32">
        <f t="shared" si="6"/>
        <v>6.8698887881603685</v>
      </c>
      <c r="P35" s="32">
        <f t="shared" si="2"/>
        <v>4.4654277123042396</v>
      </c>
      <c r="Q35" s="69"/>
    </row>
    <row r="36" spans="1:22" x14ac:dyDescent="0.25">
      <c r="A36" s="1" t="s">
        <v>59</v>
      </c>
      <c r="B36" s="12">
        <f>0.65*'LA-Ref 0.5'!B15+0.35*B15</f>
        <v>0.14800000000000002</v>
      </c>
      <c r="C36" s="18">
        <f t="shared" si="3"/>
        <v>0.14783650414199376</v>
      </c>
      <c r="D36" s="18">
        <f>INDEX(MAC!$H$3:$H$16,MATCH($A36,MAC!$A$3:$A$16,0))</f>
        <v>124.47726788956365</v>
      </c>
      <c r="E36" s="18">
        <f t="shared" si="4"/>
        <v>0.18402284129939542</v>
      </c>
      <c r="F36" s="21"/>
      <c r="G36" s="55"/>
      <c r="H36" s="97" t="s">
        <v>88</v>
      </c>
      <c r="I36" s="97">
        <v>81963</v>
      </c>
      <c r="J36" s="97">
        <v>0</v>
      </c>
      <c r="K36" s="97"/>
      <c r="L36" s="97"/>
      <c r="M36" s="5">
        <f t="shared" si="5"/>
        <v>54.731490379918007</v>
      </c>
      <c r="N36" s="6">
        <f>100*J36*K36*(L36*0.00000001^3)^2*M36/INDEX('Reference-aQuartz'!$H$4:$H$17,MATCH($B$22,'Reference-aQuartz'!$A$4:$A$17,0))</f>
        <v>0</v>
      </c>
      <c r="O36" s="32">
        <f t="shared" si="6"/>
        <v>0</v>
      </c>
      <c r="P36" s="32">
        <f t="shared" si="2"/>
        <v>0</v>
      </c>
      <c r="Q36" s="69"/>
    </row>
    <row r="37" spans="1:22" x14ac:dyDescent="0.25">
      <c r="A37" s="1" t="s">
        <v>60</v>
      </c>
      <c r="B37" s="12">
        <f>0.65*'LA-Ref 0.5'!B16+0.35*B16</f>
        <v>0.17250000000000001</v>
      </c>
      <c r="C37" s="18">
        <f t="shared" si="3"/>
        <v>0.17230943894928327</v>
      </c>
      <c r="D37" s="18">
        <f>INDEX(MAC!$H$3:$H$16,MATCH($A37,MAC!$A$3:$A$16,0))</f>
        <v>39.431437267071992</v>
      </c>
      <c r="E37" s="18">
        <f t="shared" si="4"/>
        <v>6.7944088324530347E-2</v>
      </c>
      <c r="F37" s="21"/>
      <c r="G37" s="55"/>
      <c r="H37" s="97" t="s">
        <v>89</v>
      </c>
      <c r="I37" s="97">
        <v>59327</v>
      </c>
      <c r="J37" s="65">
        <v>3.3149999999999999E-5</v>
      </c>
      <c r="K37" s="97">
        <v>2.16</v>
      </c>
      <c r="L37" s="97">
        <v>435.95190000000002</v>
      </c>
      <c r="M37" s="5">
        <f t="shared" si="5"/>
        <v>54.731490379918007</v>
      </c>
      <c r="N37" s="6">
        <f>100*J37*K37*(L37*0.00000001^3)^2*M37/INDEX('Reference-aQuartz'!$H$4:$H$17,MATCH($B$22,'Reference-aQuartz'!$A$4:$A$17,0))</f>
        <v>0.99031420024343531</v>
      </c>
      <c r="O37" s="32">
        <f t="shared" si="6"/>
        <v>1.8739791789221931</v>
      </c>
      <c r="P37" s="32">
        <f t="shared" si="2"/>
        <v>1.2180864662994255</v>
      </c>
      <c r="Q37" s="69"/>
    </row>
    <row r="38" spans="1:22" x14ac:dyDescent="0.25">
      <c r="A38" s="19" t="s">
        <v>23</v>
      </c>
      <c r="B38" s="12">
        <f>0.65*'LA-Ref 0.5'!B17+0.35*B17</f>
        <v>2.6250000000000002E-2</v>
      </c>
      <c r="C38" s="18">
        <f t="shared" si="3"/>
        <v>2.6221001579238755E-2</v>
      </c>
      <c r="D38" s="18">
        <f>INDEX(MAC!$H$3:$H$16,MATCH($A38,MAC!$A$3:$A$16,0))</f>
        <v>197.69998688868492</v>
      </c>
      <c r="E38" s="18">
        <f t="shared" si="4"/>
        <v>5.1838916684236881E-2</v>
      </c>
      <c r="F38" s="21"/>
      <c r="G38" s="55"/>
      <c r="H38" s="97" t="s">
        <v>90</v>
      </c>
      <c r="I38" s="97">
        <v>2105252</v>
      </c>
      <c r="J38" s="65">
        <v>2.1500000000000002E-6</v>
      </c>
      <c r="K38" s="97">
        <v>1.82</v>
      </c>
      <c r="L38" s="97">
        <v>1413.0419999999999</v>
      </c>
      <c r="M38" s="5">
        <f t="shared" si="5"/>
        <v>54.731490379918007</v>
      </c>
      <c r="N38" s="6">
        <f>100*J38*K38*(L38*0.00000001^3)^2*M38/INDEX('Reference-aQuartz'!$H$4:$H$17,MATCH($B$22,'Reference-aQuartz'!$A$4:$A$17,0))</f>
        <v>0.56856295838747506</v>
      </c>
      <c r="O38" s="32">
        <f t="shared" si="6"/>
        <v>1.0758960597178375</v>
      </c>
      <c r="P38" s="32">
        <f t="shared" si="2"/>
        <v>0.69933243881659435</v>
      </c>
      <c r="Q38" s="69"/>
    </row>
    <row r="39" spans="1:22" x14ac:dyDescent="0.25">
      <c r="A39" s="1" t="s">
        <v>66</v>
      </c>
      <c r="B39" s="12">
        <f>0.65*'LA-Ref 0.5'!B18+0.35*B18</f>
        <v>2.1179999999999999</v>
      </c>
      <c r="C39" s="18">
        <f>B39</f>
        <v>2.1179999999999999</v>
      </c>
      <c r="D39" s="18">
        <f>INDEX(MAC!$H$3:$H$16,MATCH($A39,MAC!$A$3:$A$16,0))</f>
        <v>9.592279079279237</v>
      </c>
      <c r="E39" s="18">
        <f t="shared" si="4"/>
        <v>0.20316447089913425</v>
      </c>
      <c r="F39" s="21"/>
      <c r="G39" s="55"/>
      <c r="H39" s="97"/>
      <c r="I39" s="97"/>
      <c r="J39" s="97"/>
      <c r="K39" s="97"/>
      <c r="L39" s="97"/>
      <c r="M39" s="5">
        <f t="shared" si="5"/>
        <v>54.731490379918007</v>
      </c>
      <c r="N39" s="6">
        <f>100*J39*K39*(L39*0.00000001^3)^2*M39/INDEX('Reference-aQuartz'!$H$4:$H$17,MATCH($B$22,'Reference-aQuartz'!$A$4:$A$17,0))</f>
        <v>0</v>
      </c>
      <c r="O39" s="32">
        <f t="shared" si="6"/>
        <v>0</v>
      </c>
      <c r="P39" s="32">
        <f t="shared" si="2"/>
        <v>0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97"/>
      <c r="I40" s="97"/>
      <c r="J40" s="65"/>
      <c r="K40" s="97"/>
      <c r="L40" s="97"/>
      <c r="M40" s="5">
        <f t="shared" si="5"/>
        <v>54.731490379918007</v>
      </c>
      <c r="N40" s="6">
        <f>100*J40*K40*(L40*0.00000001^3)^2*M40/INDEX('Reference-aQuartz'!$H$4:$H$17,MATCH($B$22,'Reference-aQuartz'!$A$4:$A$17,0))</f>
        <v>0</v>
      </c>
      <c r="O40" s="32">
        <f t="shared" si="6"/>
        <v>0</v>
      </c>
      <c r="P40" s="32">
        <f t="shared" si="2"/>
        <v>0</v>
      </c>
    </row>
    <row r="41" spans="1:22" x14ac:dyDescent="0.25">
      <c r="A41" s="97" t="s">
        <v>7</v>
      </c>
      <c r="B41" s="40">
        <f>SUM(B27:B38)</f>
        <v>97.990249999999989</v>
      </c>
      <c r="C41" s="40">
        <f>SUM(C27:C39)</f>
        <v>100.00000000000003</v>
      </c>
      <c r="D41" s="97" t="s">
        <v>29</v>
      </c>
      <c r="E41" s="56">
        <f>SUM(E27:E39)</f>
        <v>78.679385520119794</v>
      </c>
      <c r="F41" s="57">
        <f>E41*(1-C23)+D40*C23</f>
        <v>54.731490379918007</v>
      </c>
      <c r="H41" s="107" t="s">
        <v>7</v>
      </c>
      <c r="I41" s="108"/>
      <c r="J41" s="108"/>
      <c r="K41" s="108"/>
      <c r="L41" s="108"/>
      <c r="M41" s="109"/>
      <c r="N41" s="6">
        <f>SUM(N27:N40)</f>
        <v>17.089240324998876</v>
      </c>
      <c r="O41" s="31">
        <f>SUM(O27:O40)</f>
        <v>32.338100922690188</v>
      </c>
      <c r="P41" s="31">
        <f>SUM(P27:P40)</f>
        <v>21.019765599748617</v>
      </c>
    </row>
    <row r="42" spans="1:22" x14ac:dyDescent="0.25">
      <c r="H42" s="107" t="s">
        <v>28</v>
      </c>
      <c r="I42" s="108"/>
      <c r="J42" s="108"/>
      <c r="K42" s="108"/>
      <c r="L42" s="108"/>
      <c r="M42" s="109"/>
      <c r="N42" s="6">
        <f>100-N41</f>
        <v>82.910759675001117</v>
      </c>
      <c r="O42" s="31">
        <f>100-O41</f>
        <v>67.661899077309812</v>
      </c>
      <c r="P42" s="31">
        <f>100-P41</f>
        <v>78.980234400251391</v>
      </c>
    </row>
    <row r="44" spans="1:22" x14ac:dyDescent="0.25">
      <c r="A44" s="42" t="s">
        <v>32</v>
      </c>
      <c r="B44" s="43"/>
      <c r="C44" s="47" t="s">
        <v>85</v>
      </c>
      <c r="D44" s="48"/>
      <c r="E44" s="48" t="s">
        <v>77</v>
      </c>
      <c r="F44" s="49"/>
    </row>
    <row r="45" spans="1:22" x14ac:dyDescent="0.25">
      <c r="A45" s="44" t="s">
        <v>78</v>
      </c>
      <c r="B45" s="50"/>
      <c r="C45" s="51"/>
      <c r="D45" s="52"/>
      <c r="E45" s="52"/>
      <c r="F45" s="53"/>
    </row>
    <row r="46" spans="1:22" x14ac:dyDescent="0.25">
      <c r="H46" s="46" t="s">
        <v>6</v>
      </c>
      <c r="I46" s="28"/>
      <c r="J46" s="33"/>
    </row>
    <row r="47" spans="1:22" x14ac:dyDescent="0.25">
      <c r="A47" s="97" t="s">
        <v>8</v>
      </c>
      <c r="B47" s="97" t="s">
        <v>30</v>
      </c>
      <c r="C47" s="97" t="s">
        <v>31</v>
      </c>
      <c r="D47" s="97" t="s">
        <v>68</v>
      </c>
      <c r="E47" s="97" t="s">
        <v>69</v>
      </c>
      <c r="F47" s="97" t="s">
        <v>74</v>
      </c>
      <c r="G47" s="54"/>
      <c r="H47" s="97" t="s">
        <v>9</v>
      </c>
      <c r="I47" s="97" t="s">
        <v>86</v>
      </c>
      <c r="J47" s="97" t="s">
        <v>2</v>
      </c>
      <c r="K47" s="97" t="s">
        <v>3</v>
      </c>
      <c r="L47" s="97" t="s">
        <v>4</v>
      </c>
      <c r="M47" s="97" t="s">
        <v>5</v>
      </c>
      <c r="N47" s="5" t="s">
        <v>15</v>
      </c>
      <c r="O47" s="5" t="s">
        <v>15</v>
      </c>
      <c r="P47" s="5" t="s">
        <v>15</v>
      </c>
      <c r="Q47" s="97" t="s">
        <v>96</v>
      </c>
      <c r="R47" s="98"/>
      <c r="S47" s="97" t="s">
        <v>122</v>
      </c>
      <c r="T47" s="97" t="s">
        <v>123</v>
      </c>
      <c r="U47" s="97" t="s">
        <v>82</v>
      </c>
      <c r="V47" s="36" t="s">
        <v>83</v>
      </c>
    </row>
    <row r="48" spans="1:22" x14ac:dyDescent="0.25">
      <c r="A48" s="97" t="s">
        <v>11</v>
      </c>
      <c r="B48" s="97" t="s">
        <v>93</v>
      </c>
      <c r="C48" s="97" t="s">
        <v>93</v>
      </c>
      <c r="D48" s="97" t="s">
        <v>13</v>
      </c>
      <c r="E48" s="97" t="s">
        <v>13</v>
      </c>
      <c r="F48" s="97" t="s">
        <v>13</v>
      </c>
      <c r="G48" s="54"/>
      <c r="H48" s="97" t="s">
        <v>11</v>
      </c>
      <c r="I48" s="97" t="s">
        <v>11</v>
      </c>
      <c r="J48" s="97" t="s">
        <v>11</v>
      </c>
      <c r="K48" s="97" t="s">
        <v>16</v>
      </c>
      <c r="L48" s="97" t="s">
        <v>19</v>
      </c>
      <c r="M48" s="97" t="s">
        <v>13</v>
      </c>
      <c r="N48" s="5" t="s">
        <v>75</v>
      </c>
      <c r="O48" s="97" t="s">
        <v>113</v>
      </c>
      <c r="P48" s="97" t="s">
        <v>76</v>
      </c>
      <c r="Q48" s="97" t="s">
        <v>76</v>
      </c>
      <c r="R48" s="98"/>
      <c r="S48" s="97" t="s">
        <v>76</v>
      </c>
      <c r="T48" s="97" t="s">
        <v>76</v>
      </c>
      <c r="U48" s="97" t="s">
        <v>11</v>
      </c>
      <c r="V48" s="36" t="s">
        <v>11</v>
      </c>
    </row>
    <row r="49" spans="1:22" x14ac:dyDescent="0.25">
      <c r="A49" s="1" t="s">
        <v>53</v>
      </c>
      <c r="B49" s="12">
        <f>0.65*'LA-Ref 0.5'!B6+0.35*B6</f>
        <v>37.68</v>
      </c>
      <c r="C49" s="18">
        <f>B49*(100-B$39)/B$41</f>
        <v>37.638374838312998</v>
      </c>
      <c r="D49" s="18">
        <f>INDEX(MAC!$H$3:$H$16,MATCH($A49,MAC!$A$3:$A$16,0))</f>
        <v>35.900659077291785</v>
      </c>
      <c r="E49" s="18">
        <f>C49*D49/100</f>
        <v>13.512424632935922</v>
      </c>
      <c r="F49" s="21"/>
      <c r="G49" s="55"/>
      <c r="H49" s="97" t="s">
        <v>34</v>
      </c>
      <c r="I49" s="97"/>
      <c r="J49" s="65"/>
      <c r="K49" s="97"/>
      <c r="L49" s="97"/>
      <c r="M49" s="5">
        <f>$F$63</f>
        <v>78.679385520119794</v>
      </c>
      <c r="N49" s="6" t="e">
        <f>100*J49*K49*(L49*0.00000001^3)^2*M49/INDEX('Reference-aQuartz'!$H$4:$H$17,MATCH($B$44,'Reference-aQuartz'!$A$4:$A$17,0))</f>
        <v>#N/A</v>
      </c>
      <c r="O49" s="32" t="e">
        <f>P49*100/65</f>
        <v>#N/A</v>
      </c>
      <c r="P49" s="32" t="e">
        <f t="shared" ref="P49:P62" si="8">N49*(1+$E$45)</f>
        <v>#N/A</v>
      </c>
      <c r="Q49" s="69"/>
      <c r="R49" s="110" t="s">
        <v>79</v>
      </c>
      <c r="S49" s="100">
        <f>('LA-Ref 0.5'!P6+'LA-Ref 0.5'!P7)*0.65</f>
        <v>42.364846282241693</v>
      </c>
      <c r="T49" s="100" t="e">
        <f>P49+P50</f>
        <v>#N/A</v>
      </c>
      <c r="U49" s="102" t="e">
        <f>(S49-T49)/S49</f>
        <v>#N/A</v>
      </c>
      <c r="V49" s="30" t="e">
        <f>(U49*S49+U51*S51+U52*S52+U53*S53)/S54</f>
        <v>#N/A</v>
      </c>
    </row>
    <row r="50" spans="1:22" x14ac:dyDescent="0.25">
      <c r="A50" s="1" t="s">
        <v>54</v>
      </c>
      <c r="B50" s="12">
        <f>0.65*'LA-Ref 0.5'!B7+0.35*B7</f>
        <v>3.6250000000000004</v>
      </c>
      <c r="C50" s="18">
        <f t="shared" ref="C50:C60" si="9">B50*(100-B$39)/B$41</f>
        <v>3.6209954561805904</v>
      </c>
      <c r="D50" s="18">
        <f>INDEX(MAC!$H$3:$H$16,MATCH($A50,MAC!$A$3:$A$16,0))</f>
        <v>31.664851266660783</v>
      </c>
      <c r="E50" s="18">
        <f t="shared" ref="E50:E61" si="10">C50*D50/100</f>
        <v>1.1465828255721291</v>
      </c>
      <c r="F50" s="21"/>
      <c r="G50" s="55"/>
      <c r="H50" s="97" t="s">
        <v>35</v>
      </c>
      <c r="I50" s="97">
        <v>94742</v>
      </c>
      <c r="J50" s="97"/>
      <c r="K50" s="97"/>
      <c r="L50" s="97"/>
      <c r="M50" s="5">
        <f t="shared" ref="M50:M62" si="11">$F$63</f>
        <v>78.679385520119794</v>
      </c>
      <c r="N50" s="6" t="e">
        <f>100*J50*K50*(L50*0.00000001^3)^2*M50/INDEX('Reference-aQuartz'!$H$4:$H$17,MATCH($B$44,'Reference-aQuartz'!$A$4:$A$17,0))</f>
        <v>#N/A</v>
      </c>
      <c r="O50" s="32" t="e">
        <f t="shared" ref="O50:O62" si="12">P50*100/65</f>
        <v>#N/A</v>
      </c>
      <c r="P50" s="32" t="e">
        <f t="shared" si="8"/>
        <v>#N/A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0.5'!B8+0.35*B8</f>
        <v>2.4449999999999998</v>
      </c>
      <c r="C51" s="18">
        <f t="shared" si="9"/>
        <v>2.4422990042376664</v>
      </c>
      <c r="D51" s="18">
        <f>INDEX(MAC!$H$3:$H$16,MATCH($A51,MAC!$A$3:$A$16,0))</f>
        <v>214.68463619455559</v>
      </c>
      <c r="E51" s="18">
        <f t="shared" si="10"/>
        <v>5.2432407320308876</v>
      </c>
      <c r="F51" s="21"/>
      <c r="G51" s="55"/>
      <c r="H51" s="97" t="s">
        <v>36</v>
      </c>
      <c r="I51" s="97">
        <v>81096</v>
      </c>
      <c r="J51" s="65"/>
      <c r="K51" s="97"/>
      <c r="L51" s="97"/>
      <c r="M51" s="5">
        <f t="shared" si="11"/>
        <v>78.679385520119794</v>
      </c>
      <c r="N51" s="6" t="e">
        <f>100*J51*K51*(L51*0.00000001^3)^2*M51/INDEX('Reference-aQuartz'!$H$4:$H$17,MATCH($B$44,'Reference-aQuartz'!$A$4:$A$17,0))</f>
        <v>#N/A</v>
      </c>
      <c r="O51" s="32" t="e">
        <f t="shared" si="12"/>
        <v>#N/A</v>
      </c>
      <c r="P51" s="32" t="e">
        <f t="shared" si="8"/>
        <v>#N/A</v>
      </c>
      <c r="Q51" s="69"/>
      <c r="R51" s="98" t="s">
        <v>80</v>
      </c>
      <c r="S51" s="69">
        <f>'LA-Ref 0.5'!P8*0.65</f>
        <v>6.6266164042793037</v>
      </c>
      <c r="T51" s="69" t="e">
        <f>P51</f>
        <v>#N/A</v>
      </c>
      <c r="U51" s="34" t="e">
        <f>(S51-T51)/S51</f>
        <v>#N/A</v>
      </c>
    </row>
    <row r="52" spans="1:22" x14ac:dyDescent="0.25">
      <c r="A52" s="1" t="s">
        <v>0</v>
      </c>
      <c r="B52" s="12">
        <f>0.65*'LA-Ref 0.5'!B9+0.35*B9</f>
        <v>1.98</v>
      </c>
      <c r="C52" s="18">
        <f t="shared" si="9"/>
        <v>1.9778126905482947</v>
      </c>
      <c r="D52" s="18">
        <f>INDEX(MAC!$H$3:$H$16,MATCH($A52,MAC!$A$3:$A$16,0))</f>
        <v>28.686693628423974</v>
      </c>
      <c r="E52" s="18">
        <f t="shared" si="10"/>
        <v>0.56736906708167845</v>
      </c>
      <c r="F52" s="21"/>
      <c r="G52" s="55"/>
      <c r="H52" s="97" t="s">
        <v>37</v>
      </c>
      <c r="I52" s="97">
        <v>1841</v>
      </c>
      <c r="J52" s="97"/>
      <c r="K52" s="97"/>
      <c r="L52" s="97"/>
      <c r="M52" s="5">
        <f t="shared" si="11"/>
        <v>78.679385520119794</v>
      </c>
      <c r="N52" s="6" t="e">
        <f>100*J52*K52*(L52*0.00000001^3)^2*M52/INDEX('Reference-aQuartz'!$H$4:$H$17,MATCH($B$44,'Reference-aQuartz'!$A$4:$A$17,0))</f>
        <v>#N/A</v>
      </c>
      <c r="O52" s="32" t="e">
        <f t="shared" si="12"/>
        <v>#N/A</v>
      </c>
      <c r="P52" s="32" t="e">
        <f t="shared" si="8"/>
        <v>#N/A</v>
      </c>
      <c r="Q52" s="69"/>
      <c r="R52" s="98" t="s">
        <v>37</v>
      </c>
      <c r="S52" s="69">
        <f>'LA-Ref 0.5'!P9*0.65</f>
        <v>2.3605659551948133</v>
      </c>
      <c r="T52" s="69" t="e">
        <f>P52</f>
        <v>#N/A</v>
      </c>
      <c r="U52" s="34" t="e">
        <f t="shared" ref="U52:U53" si="13">(S52-T52)/S52</f>
        <v>#N/A</v>
      </c>
    </row>
    <row r="53" spans="1:22" x14ac:dyDescent="0.25">
      <c r="A53" s="1" t="s">
        <v>1</v>
      </c>
      <c r="B53" s="12">
        <f>0.65*'LA-Ref 0.5'!B10+0.35*B10</f>
        <v>44.395000000000003</v>
      </c>
      <c r="C53" s="18">
        <f t="shared" si="9"/>
        <v>44.345956766106845</v>
      </c>
      <c r="D53" s="18">
        <f>INDEX(MAC!$H$3:$H$16,MATCH($A53,MAC!$A$3:$A$16,0))</f>
        <v>124.77929454143408</v>
      </c>
      <c r="E53" s="18">
        <f t="shared" si="10"/>
        <v>55.33457201039748</v>
      </c>
      <c r="F53" s="21"/>
      <c r="G53" s="55"/>
      <c r="H53" s="97" t="s">
        <v>38</v>
      </c>
      <c r="I53" s="97">
        <v>98836</v>
      </c>
      <c r="J53" s="97"/>
      <c r="K53" s="97"/>
      <c r="L53" s="97"/>
      <c r="M53" s="5">
        <f t="shared" si="11"/>
        <v>78.679385520119794</v>
      </c>
      <c r="N53" s="6" t="e">
        <f>100*J53*K53*(L53*0.00000001^3)^2*M53/INDEX('Reference-aQuartz'!$H$4:$H$17,MATCH($B$44,'Reference-aQuartz'!$A$4:$A$17,0))</f>
        <v>#N/A</v>
      </c>
      <c r="O53" s="32" t="e">
        <f t="shared" si="12"/>
        <v>#N/A</v>
      </c>
      <c r="P53" s="32" t="e">
        <f t="shared" si="8"/>
        <v>#N/A</v>
      </c>
      <c r="Q53" s="69"/>
      <c r="R53" s="98" t="s">
        <v>81</v>
      </c>
      <c r="S53" s="69">
        <f>'LA-Ref 0.5'!P10*0.65</f>
        <v>6.9948801462326609</v>
      </c>
      <c r="T53" s="69" t="e">
        <f>P53</f>
        <v>#N/A</v>
      </c>
      <c r="U53" s="34" t="e">
        <f t="shared" si="13"/>
        <v>#N/A</v>
      </c>
    </row>
    <row r="54" spans="1:22" x14ac:dyDescent="0.25">
      <c r="A54" s="1" t="s">
        <v>56</v>
      </c>
      <c r="B54" s="12">
        <f>0.65*'LA-Ref 0.5'!B11+0.35*B11</f>
        <v>0.32050000000000001</v>
      </c>
      <c r="C54" s="18">
        <f t="shared" si="9"/>
        <v>0.32014594309127703</v>
      </c>
      <c r="D54" s="18">
        <f>INDEX(MAC!$H$3:$H$16,MATCH($A54,MAC!$A$3:$A$16,0))</f>
        <v>122.32505440840811</v>
      </c>
      <c r="E54" s="18">
        <f t="shared" si="10"/>
        <v>0.39161869907271585</v>
      </c>
      <c r="F54" s="21"/>
      <c r="G54" s="55"/>
      <c r="H54" s="97" t="s">
        <v>40</v>
      </c>
      <c r="I54" s="97">
        <v>202220</v>
      </c>
      <c r="J54" s="97"/>
      <c r="K54" s="97"/>
      <c r="L54" s="97"/>
      <c r="M54" s="5">
        <f t="shared" si="11"/>
        <v>78.679385520119794</v>
      </c>
      <c r="N54" s="6" t="e">
        <f>100*J54*K54*(L54*0.00000001^3)^2*M54/INDEX('Reference-aQuartz'!$H$4:$H$17,MATCH($B$44,'Reference-aQuartz'!$A$4:$A$17,0))</f>
        <v>#N/A</v>
      </c>
      <c r="O54" s="32" t="e">
        <f t="shared" si="12"/>
        <v>#N/A</v>
      </c>
      <c r="P54" s="32" t="e">
        <f t="shared" si="8"/>
        <v>#N/A</v>
      </c>
      <c r="Q54" s="69">
        <v>13</v>
      </c>
      <c r="R54" s="98" t="s">
        <v>84</v>
      </c>
      <c r="S54" s="69">
        <f>SUM(S49:S53)</f>
        <v>58.346908787948472</v>
      </c>
      <c r="T54" s="69" t="e">
        <f>SUM(T49:T53)</f>
        <v>#N/A</v>
      </c>
    </row>
    <row r="55" spans="1:22" x14ac:dyDescent="0.25">
      <c r="A55" s="1" t="s">
        <v>57</v>
      </c>
      <c r="B55" s="12">
        <f>0.65*'LA-Ref 0.5'!B12+0.35*B12</f>
        <v>2.1250000000000004</v>
      </c>
      <c r="C55" s="18">
        <f t="shared" si="9"/>
        <v>2.1226525087955186</v>
      </c>
      <c r="D55" s="18">
        <f>INDEX(MAC!$H$3:$H$16,MATCH($A55,MAC!$A$3:$A$16,0))</f>
        <v>44.261072668681777</v>
      </c>
      <c r="E55" s="18">
        <f t="shared" si="10"/>
        <v>0.93950876942158135</v>
      </c>
      <c r="F55" s="21"/>
      <c r="G55" s="55"/>
      <c r="H55" s="97" t="s">
        <v>25</v>
      </c>
      <c r="I55" s="97">
        <v>73446</v>
      </c>
      <c r="J55" s="65"/>
      <c r="K55" s="97"/>
      <c r="L55" s="97"/>
      <c r="M55" s="5">
        <f t="shared" si="11"/>
        <v>78.679385520119794</v>
      </c>
      <c r="N55" s="6" t="e">
        <f>100*J55*K55*(L55*0.00000001^3)^2*M55/INDEX('Reference-aQuartz'!$H$4:$H$17,MATCH($B$44,'Reference-aQuartz'!$A$4:$A$17,0))</f>
        <v>#N/A</v>
      </c>
      <c r="O55" s="32" t="e">
        <f t="shared" si="12"/>
        <v>#N/A</v>
      </c>
      <c r="P55" s="32" t="e">
        <f t="shared" si="8"/>
        <v>#N/A</v>
      </c>
      <c r="Q55" s="69">
        <v>3</v>
      </c>
    </row>
    <row r="56" spans="1:22" x14ac:dyDescent="0.25">
      <c r="A56" s="1" t="s">
        <v>14</v>
      </c>
      <c r="B56" s="12">
        <f>0.65*'LA-Ref 0.5'!B13+0.35*B13</f>
        <v>8.8000000000000009E-2</v>
      </c>
      <c r="C56" s="18">
        <f t="shared" si="9"/>
        <v>8.7902786246590897E-2</v>
      </c>
      <c r="D56" s="18">
        <f>INDEX(MAC!$H$3:$H$16,MATCH($A56,MAC!$A$3:$A$16,0))</f>
        <v>97.328178229861322</v>
      </c>
      <c r="E56" s="18">
        <f t="shared" si="10"/>
        <v>8.5554180467096008E-2</v>
      </c>
      <c r="F56" s="21"/>
      <c r="G56" s="55"/>
      <c r="H56" s="97" t="s">
        <v>21</v>
      </c>
      <c r="I56" s="97">
        <v>62405</v>
      </c>
      <c r="J56" s="65"/>
      <c r="K56" s="97"/>
      <c r="L56" s="97"/>
      <c r="M56" s="5">
        <f t="shared" si="11"/>
        <v>78.679385520119794</v>
      </c>
      <c r="N56" s="6" t="e">
        <f>100*J56*K56*(L56*0.00000001^3)^2*M56/INDEX('Reference-aQuartz'!$H$4:$H$17,MATCH($B$44,'Reference-aQuartz'!$A$4:$A$17,0))</f>
        <v>#N/A</v>
      </c>
      <c r="O56" s="32" t="e">
        <f t="shared" si="12"/>
        <v>#N/A</v>
      </c>
      <c r="P56" s="32" t="e">
        <f t="shared" si="8"/>
        <v>#N/A</v>
      </c>
      <c r="Q56" s="69"/>
    </row>
    <row r="57" spans="1:22" x14ac:dyDescent="0.25">
      <c r="A57" s="1" t="s">
        <v>58</v>
      </c>
      <c r="B57" s="12">
        <f>0.65*'LA-Ref 0.5'!B14+0.35*B14</f>
        <v>4.9850000000000003</v>
      </c>
      <c r="C57" s="18">
        <f t="shared" si="9"/>
        <v>4.9794930618097224</v>
      </c>
      <c r="D57" s="18">
        <f>INDEX(MAC!$H$3:$H$16,MATCH($A57,MAC!$A$3:$A$16,0))</f>
        <v>19.10926020222594</v>
      </c>
      <c r="E57" s="18">
        <f t="shared" si="10"/>
        <v>0.95154428593300722</v>
      </c>
      <c r="F57" s="21"/>
      <c r="G57" s="55"/>
      <c r="H57" s="97" t="s">
        <v>87</v>
      </c>
      <c r="I57" s="97">
        <v>155395</v>
      </c>
      <c r="J57" s="65"/>
      <c r="K57" s="97"/>
      <c r="L57" s="97"/>
      <c r="M57" s="5">
        <f t="shared" si="11"/>
        <v>78.679385520119794</v>
      </c>
      <c r="N57" s="6" t="e">
        <f>100*J57*K57*(L57*0.00000001^3)^2*M57/INDEX('Reference-aQuartz'!$H$4:$H$17,MATCH($B$44,'Reference-aQuartz'!$A$4:$A$17,0))</f>
        <v>#N/A</v>
      </c>
      <c r="O57" s="32" t="e">
        <f t="shared" si="12"/>
        <v>#N/A</v>
      </c>
      <c r="P57" s="32" t="e">
        <f t="shared" si="8"/>
        <v>#N/A</v>
      </c>
      <c r="Q57" s="69"/>
    </row>
    <row r="58" spans="1:22" x14ac:dyDescent="0.25">
      <c r="A58" s="1" t="s">
        <v>59</v>
      </c>
      <c r="B58" s="12">
        <f>0.65*'LA-Ref 0.5'!B15+0.35*B15</f>
        <v>0.14800000000000002</v>
      </c>
      <c r="C58" s="18">
        <f t="shared" si="9"/>
        <v>0.14783650414199376</v>
      </c>
      <c r="D58" s="18">
        <f>INDEX(MAC!$H$3:$H$16,MATCH($A58,MAC!$A$3:$A$16,0))</f>
        <v>124.47726788956365</v>
      </c>
      <c r="E58" s="18">
        <f t="shared" si="10"/>
        <v>0.18402284129939542</v>
      </c>
      <c r="F58" s="21"/>
      <c r="G58" s="55"/>
      <c r="H58" s="97" t="s">
        <v>88</v>
      </c>
      <c r="I58" s="97">
        <v>81963</v>
      </c>
      <c r="J58" s="97"/>
      <c r="K58" s="97"/>
      <c r="L58" s="97"/>
      <c r="M58" s="5">
        <f t="shared" si="11"/>
        <v>78.679385520119794</v>
      </c>
      <c r="N58" s="6" t="e">
        <f>100*J58*K58*(L58*0.00000001^3)^2*M58/INDEX('Reference-aQuartz'!$H$4:$H$17,MATCH($B$44,'Reference-aQuartz'!$A$4:$A$17,0))</f>
        <v>#N/A</v>
      </c>
      <c r="O58" s="32" t="e">
        <f t="shared" si="12"/>
        <v>#N/A</v>
      </c>
      <c r="P58" s="32" t="e">
        <f t="shared" si="8"/>
        <v>#N/A</v>
      </c>
      <c r="Q58" s="69"/>
    </row>
    <row r="59" spans="1:22" x14ac:dyDescent="0.25">
      <c r="A59" s="1" t="s">
        <v>60</v>
      </c>
      <c r="B59" s="12">
        <f>0.65*'LA-Ref 0.5'!B16+0.35*B16</f>
        <v>0.17250000000000001</v>
      </c>
      <c r="C59" s="18">
        <f t="shared" si="9"/>
        <v>0.17230943894928327</v>
      </c>
      <c r="D59" s="18">
        <f>INDEX(MAC!$H$3:$H$16,MATCH($A59,MAC!$A$3:$A$16,0))</f>
        <v>39.431437267071992</v>
      </c>
      <c r="E59" s="18">
        <f t="shared" si="10"/>
        <v>6.7944088324530347E-2</v>
      </c>
      <c r="F59" s="21"/>
      <c r="G59" s="55"/>
      <c r="H59" s="97" t="s">
        <v>89</v>
      </c>
      <c r="I59" s="97">
        <v>59327</v>
      </c>
      <c r="J59" s="97"/>
      <c r="K59" s="97"/>
      <c r="L59" s="97"/>
      <c r="M59" s="5">
        <f t="shared" si="11"/>
        <v>78.679385520119794</v>
      </c>
      <c r="N59" s="6" t="e">
        <f>100*J59*K59*(L59*0.00000001^3)^2*M59/INDEX('Reference-aQuartz'!$H$4:$H$17,MATCH($B$44,'Reference-aQuartz'!$A$4:$A$17,0))</f>
        <v>#N/A</v>
      </c>
      <c r="O59" s="32" t="e">
        <f t="shared" si="12"/>
        <v>#N/A</v>
      </c>
      <c r="P59" s="32" t="e">
        <f t="shared" si="8"/>
        <v>#N/A</v>
      </c>
      <c r="Q59" s="69"/>
    </row>
    <row r="60" spans="1:22" x14ac:dyDescent="0.25">
      <c r="A60" s="19" t="s">
        <v>23</v>
      </c>
      <c r="B60" s="12">
        <f>0.65*'LA-Ref 0.5'!B17+0.35*B17</f>
        <v>2.6250000000000002E-2</v>
      </c>
      <c r="C60" s="18">
        <f t="shared" si="9"/>
        <v>2.6221001579238755E-2</v>
      </c>
      <c r="D60" s="18">
        <f>INDEX(MAC!$H$3:$H$16,MATCH($A60,MAC!$A$3:$A$16,0))</f>
        <v>197.69998688868492</v>
      </c>
      <c r="E60" s="18">
        <f t="shared" si="10"/>
        <v>5.1838916684236881E-2</v>
      </c>
      <c r="F60" s="21"/>
      <c r="G60" s="55"/>
      <c r="H60" s="97" t="s">
        <v>90</v>
      </c>
      <c r="I60" s="97">
        <v>2105252</v>
      </c>
      <c r="J60" s="65"/>
      <c r="K60" s="97"/>
      <c r="L60" s="97"/>
      <c r="M60" s="5">
        <f t="shared" si="11"/>
        <v>78.679385520119794</v>
      </c>
      <c r="N60" s="6" t="e">
        <f>100*J60*K60*(L60*0.00000001^3)^2*M60/INDEX('Reference-aQuartz'!$H$4:$H$17,MATCH($B$44,'Reference-aQuartz'!$A$4:$A$17,0))</f>
        <v>#N/A</v>
      </c>
      <c r="O60" s="32" t="e">
        <f t="shared" si="12"/>
        <v>#N/A</v>
      </c>
      <c r="P60" s="32" t="e">
        <f t="shared" si="8"/>
        <v>#N/A</v>
      </c>
      <c r="Q60" s="69"/>
    </row>
    <row r="61" spans="1:22" x14ac:dyDescent="0.25">
      <c r="A61" s="1" t="s">
        <v>66</v>
      </c>
      <c r="B61" s="12">
        <f>0.65*'LA-Ref 0.5'!B18+0.35*B18</f>
        <v>2.1179999999999999</v>
      </c>
      <c r="C61" s="18">
        <f>B61</f>
        <v>2.1179999999999999</v>
      </c>
      <c r="D61" s="18">
        <f>INDEX(MAC!$H$3:$H$16,MATCH($A61,MAC!$A$3:$A$16,0))</f>
        <v>9.592279079279237</v>
      </c>
      <c r="E61" s="18">
        <f t="shared" si="10"/>
        <v>0.20316447089913425</v>
      </c>
      <c r="F61" s="21"/>
      <c r="G61" s="55"/>
      <c r="H61" s="97"/>
      <c r="I61" s="97"/>
      <c r="J61" s="65"/>
      <c r="K61" s="97"/>
      <c r="L61" s="97"/>
      <c r="M61" s="5">
        <f t="shared" si="11"/>
        <v>78.679385520119794</v>
      </c>
      <c r="N61" s="6" t="e">
        <f>100*J61*K61*(L61*0.00000001^3)^2*M61/INDEX('Reference-aQuartz'!$H$4:$H$17,MATCH($B$44,'Reference-aQuartz'!$A$4:$A$17,0))</f>
        <v>#N/A</v>
      </c>
      <c r="O61" s="32" t="e">
        <f t="shared" si="12"/>
        <v>#N/A</v>
      </c>
      <c r="P61" s="32" t="e">
        <f t="shared" si="8"/>
        <v>#N/A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97"/>
      <c r="I62" s="97"/>
      <c r="J62" s="65"/>
      <c r="K62" s="97"/>
      <c r="L62" s="97"/>
      <c r="M62" s="5">
        <f t="shared" si="11"/>
        <v>78.679385520119794</v>
      </c>
      <c r="N62" s="6" t="e">
        <f>100*J62*K62*(L62*0.00000001^3)^2*M62/INDEX('Reference-aQuartz'!$H$4:$H$17,MATCH($B$44,'Reference-aQuartz'!$A$4:$A$17,0))</f>
        <v>#N/A</v>
      </c>
      <c r="O62" s="32" t="e">
        <f t="shared" si="12"/>
        <v>#N/A</v>
      </c>
      <c r="P62" s="32" t="e">
        <f t="shared" si="8"/>
        <v>#N/A</v>
      </c>
      <c r="Q62" s="97"/>
    </row>
    <row r="63" spans="1:22" x14ac:dyDescent="0.25">
      <c r="A63" s="97" t="s">
        <v>7</v>
      </c>
      <c r="B63" s="40">
        <f>SUM(B49:B60)</f>
        <v>97.990249999999989</v>
      </c>
      <c r="C63" s="40">
        <f>SUM(C49:C61)</f>
        <v>100.00000000000003</v>
      </c>
      <c r="D63" s="97" t="s">
        <v>29</v>
      </c>
      <c r="E63" s="56">
        <f>SUM(E49:E61)</f>
        <v>78.679385520119794</v>
      </c>
      <c r="F63" s="57">
        <f>E63*(1-C45)+D62*C45</f>
        <v>78.679385520119794</v>
      </c>
      <c r="H63" s="107" t="s">
        <v>7</v>
      </c>
      <c r="I63" s="108"/>
      <c r="J63" s="108"/>
      <c r="K63" s="108"/>
      <c r="L63" s="108"/>
      <c r="M63" s="109"/>
      <c r="N63" s="6" t="e">
        <f>SUM(N49:N62)</f>
        <v>#N/A</v>
      </c>
      <c r="O63" s="31" t="e">
        <f>SUM(O49:O62)</f>
        <v>#N/A</v>
      </c>
      <c r="P63" s="31" t="e">
        <f>SUM(P49:P62)</f>
        <v>#N/A</v>
      </c>
    </row>
    <row r="64" spans="1:22" x14ac:dyDescent="0.25">
      <c r="H64" s="107" t="s">
        <v>28</v>
      </c>
      <c r="I64" s="108"/>
      <c r="J64" s="108"/>
      <c r="K64" s="108"/>
      <c r="L64" s="108"/>
      <c r="M64" s="109"/>
      <c r="N64" s="6" t="e">
        <f>100-N63</f>
        <v>#N/A</v>
      </c>
      <c r="O64" s="31" t="e">
        <f>100-O63</f>
        <v>#N/A</v>
      </c>
      <c r="P64" s="31" t="e">
        <f>100-P63</f>
        <v>#N/A</v>
      </c>
    </row>
  </sheetData>
  <mergeCells count="14">
    <mergeCell ref="H63:M63"/>
    <mergeCell ref="H64:M64"/>
    <mergeCell ref="H41:M41"/>
    <mergeCell ref="H42:M42"/>
    <mergeCell ref="R49:R50"/>
    <mergeCell ref="S49:S50"/>
    <mergeCell ref="T49:T50"/>
    <mergeCell ref="U49:U50"/>
    <mergeCell ref="H18:M18"/>
    <mergeCell ref="H19:M19"/>
    <mergeCell ref="R27:R28"/>
    <mergeCell ref="S27:S28"/>
    <mergeCell ref="T27:T28"/>
    <mergeCell ref="U27:U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/>
  </sheetPr>
  <dimension ref="A1:J19"/>
  <sheetViews>
    <sheetView zoomScale="85" zoomScaleNormal="85" workbookViewId="0">
      <selection activeCell="E21" sqref="E21"/>
    </sheetView>
  </sheetViews>
  <sheetFormatPr defaultColWidth="8.85546875" defaultRowHeight="15" x14ac:dyDescent="0.25"/>
  <cols>
    <col min="1" max="1" width="10.5703125" style="4" bestFit="1" customWidth="1"/>
    <col min="2" max="2" width="20.7109375" style="4" customWidth="1"/>
    <col min="3" max="3" width="12.140625" style="4" customWidth="1"/>
    <col min="4" max="4" width="8.85546875" style="4"/>
    <col min="5" max="5" width="13" style="4" customWidth="1"/>
    <col min="6" max="6" width="8.85546875" style="4"/>
    <col min="7" max="7" width="12.140625" style="4" customWidth="1"/>
    <col min="8" max="8" width="12" style="4" bestFit="1" customWidth="1"/>
    <col min="9" max="9" width="12.140625" style="4" customWidth="1"/>
    <col min="10" max="10" width="11.28515625" style="13" customWidth="1"/>
    <col min="11" max="16384" width="8.85546875" style="4"/>
  </cols>
  <sheetData>
    <row r="1" spans="1:10" x14ac:dyDescent="0.25">
      <c r="A1" s="14"/>
      <c r="B1" s="14"/>
      <c r="C1" s="13"/>
      <c r="I1" s="13"/>
    </row>
    <row r="2" spans="1:10" x14ac:dyDescent="0.25">
      <c r="A2" s="15" t="s">
        <v>32</v>
      </c>
      <c r="B2" s="16" t="s">
        <v>10</v>
      </c>
      <c r="C2" s="15" t="s">
        <v>2</v>
      </c>
      <c r="D2" s="15" t="s">
        <v>3</v>
      </c>
      <c r="E2" s="15" t="s">
        <v>4</v>
      </c>
      <c r="F2" s="15" t="s">
        <v>5</v>
      </c>
      <c r="G2" s="17" t="s">
        <v>17</v>
      </c>
      <c r="H2" s="15" t="s">
        <v>18</v>
      </c>
      <c r="I2" s="15" t="s">
        <v>6</v>
      </c>
      <c r="J2" s="76" t="s">
        <v>103</v>
      </c>
    </row>
    <row r="3" spans="1:10" x14ac:dyDescent="0.25">
      <c r="A3" s="15" t="s">
        <v>11</v>
      </c>
      <c r="B3" s="16" t="s">
        <v>11</v>
      </c>
      <c r="C3" s="16" t="s">
        <v>11</v>
      </c>
      <c r="D3" s="15" t="s">
        <v>16</v>
      </c>
      <c r="E3" s="15" t="s">
        <v>19</v>
      </c>
      <c r="F3" s="15" t="s">
        <v>13</v>
      </c>
      <c r="G3" s="17" t="s">
        <v>12</v>
      </c>
      <c r="H3" s="17" t="s">
        <v>22</v>
      </c>
      <c r="I3" s="17" t="s">
        <v>11</v>
      </c>
      <c r="J3" s="17" t="s">
        <v>11</v>
      </c>
    </row>
    <row r="4" spans="1:10" x14ac:dyDescent="0.25">
      <c r="A4" s="7">
        <v>44687</v>
      </c>
      <c r="B4" s="8" t="s">
        <v>24</v>
      </c>
      <c r="C4" s="9">
        <v>4.7543059999999998E-2</v>
      </c>
      <c r="D4" s="9">
        <v>2.65</v>
      </c>
      <c r="E4" s="9">
        <v>113.0194</v>
      </c>
      <c r="F4" s="9">
        <v>34.840000000000003</v>
      </c>
      <c r="G4" s="10">
        <v>0.96730000000000005</v>
      </c>
      <c r="H4" s="9">
        <f>(C4*D4*(E4*0.00000001^3)^2*F4)/G4</f>
        <v>5.7963681032119933E-44</v>
      </c>
      <c r="I4" s="74">
        <v>10.36</v>
      </c>
      <c r="J4" s="15">
        <v>174</v>
      </c>
    </row>
    <row r="5" spans="1:10" x14ac:dyDescent="0.25">
      <c r="A5" s="7">
        <v>44698</v>
      </c>
      <c r="B5" s="8" t="s">
        <v>50</v>
      </c>
      <c r="C5" s="3">
        <v>4.7026640000000001E-2</v>
      </c>
      <c r="D5" s="3">
        <v>2.65</v>
      </c>
      <c r="E5" s="3">
        <v>113.0254</v>
      </c>
      <c r="F5" s="9">
        <v>34.840000000000003</v>
      </c>
      <c r="G5" s="10">
        <v>0.96730000000000005</v>
      </c>
      <c r="H5" s="9">
        <f t="shared" ref="H5:H17" si="0">(C5*D5*(E5*0.00000001^3)^2*F5)/G5</f>
        <v>5.7340158340665376E-44</v>
      </c>
      <c r="I5" s="74">
        <v>10.26</v>
      </c>
      <c r="J5" s="15">
        <v>174</v>
      </c>
    </row>
    <row r="6" spans="1:10" x14ac:dyDescent="0.25">
      <c r="A6" s="7">
        <v>44734</v>
      </c>
      <c r="B6" s="8" t="s">
        <v>52</v>
      </c>
      <c r="C6" s="3">
        <v>7.0696759999999997E-2</v>
      </c>
      <c r="D6" s="3">
        <v>2.65</v>
      </c>
      <c r="E6" s="3">
        <v>113.00320000000001</v>
      </c>
      <c r="F6" s="9">
        <v>34.840000000000003</v>
      </c>
      <c r="G6" s="10">
        <v>0.96730000000000005</v>
      </c>
      <c r="H6" s="9">
        <f t="shared" si="0"/>
        <v>8.6167566314682503E-44</v>
      </c>
      <c r="I6" s="74">
        <v>10.77</v>
      </c>
      <c r="J6" s="15">
        <v>174</v>
      </c>
    </row>
    <row r="7" spans="1:10" x14ac:dyDescent="0.25">
      <c r="A7" s="7">
        <v>44735</v>
      </c>
      <c r="B7" s="8" t="s">
        <v>91</v>
      </c>
      <c r="C7" s="11">
        <f>0.0699836</f>
        <v>6.9983600000000007E-2</v>
      </c>
      <c r="D7" s="9">
        <v>2.65</v>
      </c>
      <c r="E7" s="9">
        <v>113.0124</v>
      </c>
      <c r="F7" s="9">
        <v>34.840000000000003</v>
      </c>
      <c r="G7" s="10">
        <v>0.96730000000000005</v>
      </c>
      <c r="H7" s="9">
        <f t="shared" si="0"/>
        <v>8.5312232607911667E-44</v>
      </c>
      <c r="I7" s="74">
        <v>10.68</v>
      </c>
      <c r="J7" s="15">
        <v>174</v>
      </c>
    </row>
    <row r="8" spans="1:10" x14ac:dyDescent="0.25">
      <c r="A8" s="7">
        <v>44736</v>
      </c>
      <c r="B8" s="8" t="s">
        <v>92</v>
      </c>
      <c r="C8" s="11">
        <v>6.9219290000000003E-2</v>
      </c>
      <c r="D8" s="9">
        <v>2.65</v>
      </c>
      <c r="E8" s="9">
        <v>113.0093</v>
      </c>
      <c r="F8" s="9">
        <v>34.840000000000003</v>
      </c>
      <c r="G8" s="10">
        <v>0.96730000000000005</v>
      </c>
      <c r="H8" s="9">
        <f t="shared" si="0"/>
        <v>8.4375885270865959E-44</v>
      </c>
      <c r="I8" s="74">
        <v>10.58</v>
      </c>
      <c r="J8" s="15">
        <v>174</v>
      </c>
    </row>
    <row r="9" spans="1:10" x14ac:dyDescent="0.25">
      <c r="A9" s="7">
        <v>44846</v>
      </c>
      <c r="B9" s="8" t="s">
        <v>97</v>
      </c>
      <c r="C9" s="9">
        <v>6.6568139999999998E-2</v>
      </c>
      <c r="D9" s="9">
        <v>2.65</v>
      </c>
      <c r="E9" s="9">
        <v>113.0294</v>
      </c>
      <c r="F9" s="9">
        <v>34.840000000000003</v>
      </c>
      <c r="G9" s="10">
        <v>0.96730000000000005</v>
      </c>
      <c r="H9" s="9">
        <f t="shared" si="0"/>
        <v>8.1173093891977738E-44</v>
      </c>
      <c r="I9" s="74">
        <v>10.08</v>
      </c>
      <c r="J9" s="15">
        <v>174</v>
      </c>
    </row>
    <row r="10" spans="1:10" x14ac:dyDescent="0.25">
      <c r="A10" s="7">
        <v>44847</v>
      </c>
      <c r="B10" s="8" t="s">
        <v>98</v>
      </c>
      <c r="C10" s="11">
        <v>6.6755170000000003E-2</v>
      </c>
      <c r="D10" s="9">
        <v>2.65</v>
      </c>
      <c r="E10" s="9">
        <v>113.02419999999999</v>
      </c>
      <c r="F10" s="9">
        <v>34.840000000000003</v>
      </c>
      <c r="G10" s="10">
        <v>0.96730000000000005</v>
      </c>
      <c r="H10" s="9">
        <f t="shared" si="0"/>
        <v>8.1393668337166726E-44</v>
      </c>
      <c r="I10" s="74">
        <v>9.9499999999999993</v>
      </c>
      <c r="J10" s="15">
        <v>174</v>
      </c>
    </row>
    <row r="11" spans="1:10" x14ac:dyDescent="0.25">
      <c r="A11" s="7">
        <v>44852</v>
      </c>
      <c r="B11" s="8" t="s">
        <v>112</v>
      </c>
      <c r="C11" s="11">
        <v>6.6275410000000007E-2</v>
      </c>
      <c r="D11" s="9">
        <v>2.65</v>
      </c>
      <c r="E11" s="9">
        <v>113.0228</v>
      </c>
      <c r="F11" s="9">
        <v>34.840000000000003</v>
      </c>
      <c r="G11" s="10">
        <v>0.96730000000000005</v>
      </c>
      <c r="H11" s="9">
        <f t="shared" ref="H11" si="1">(C11*D11*(E11*0.00000001^3)^2*F11)/G11</f>
        <v>8.0806701613968591E-44</v>
      </c>
      <c r="I11" s="74">
        <v>9.9499999999999993</v>
      </c>
      <c r="J11" s="15">
        <v>174</v>
      </c>
    </row>
    <row r="12" spans="1:10" x14ac:dyDescent="0.25">
      <c r="A12" s="7">
        <v>44854</v>
      </c>
      <c r="B12" s="8" t="s">
        <v>116</v>
      </c>
      <c r="C12" s="11">
        <v>6.6358819999999999E-2</v>
      </c>
      <c r="D12" s="9">
        <v>2.65</v>
      </c>
      <c r="E12" s="9">
        <v>113.0239</v>
      </c>
      <c r="F12" s="9">
        <v>34.840000000000003</v>
      </c>
      <c r="G12" s="10">
        <v>0.96730000000000005</v>
      </c>
      <c r="H12" s="9">
        <f t="shared" ref="H12" si="2">(C12*D12*(E12*0.00000001^3)^2*F12)/G12</f>
        <v>8.0909974667596999E-44</v>
      </c>
      <c r="I12" s="74">
        <v>9.98</v>
      </c>
      <c r="J12" s="15">
        <v>174</v>
      </c>
    </row>
    <row r="13" spans="1:10" x14ac:dyDescent="0.25">
      <c r="A13" s="7">
        <v>44875</v>
      </c>
      <c r="B13" s="8" t="s">
        <v>99</v>
      </c>
      <c r="C13" s="9">
        <v>5.9604810000000001E-2</v>
      </c>
      <c r="D13" s="9">
        <v>2.65</v>
      </c>
      <c r="E13" s="9">
        <v>113.0262</v>
      </c>
      <c r="F13" s="9">
        <v>34.840000000000003</v>
      </c>
      <c r="G13" s="10">
        <v>0.96730000000000005</v>
      </c>
      <c r="H13" s="9">
        <f t="shared" si="0"/>
        <v>7.2677903959774435E-44</v>
      </c>
      <c r="I13" s="74">
        <v>9.8800000000000008</v>
      </c>
      <c r="J13" s="15">
        <v>174</v>
      </c>
    </row>
    <row r="14" spans="1:10" x14ac:dyDescent="0.25">
      <c r="A14" s="7">
        <v>44936</v>
      </c>
      <c r="B14" s="8" t="s">
        <v>109</v>
      </c>
      <c r="C14" s="9">
        <v>6.1537889999999998E-2</v>
      </c>
      <c r="D14" s="9">
        <v>2.65</v>
      </c>
      <c r="E14" s="9">
        <v>113.04141</v>
      </c>
      <c r="F14" s="9">
        <v>34.840000000000003</v>
      </c>
      <c r="G14" s="10">
        <v>0.96730000000000005</v>
      </c>
      <c r="H14" s="9">
        <f t="shared" si="0"/>
        <v>7.5055161809846794E-44</v>
      </c>
      <c r="I14" s="74">
        <v>9.73</v>
      </c>
      <c r="J14" s="15">
        <v>174</v>
      </c>
    </row>
    <row r="15" spans="1:10" x14ac:dyDescent="0.25">
      <c r="A15" s="7">
        <v>44964</v>
      </c>
      <c r="B15" s="8" t="s">
        <v>118</v>
      </c>
      <c r="C15" s="11">
        <v>6.1683410000000001E-2</v>
      </c>
      <c r="D15" s="9">
        <v>2.65</v>
      </c>
      <c r="E15" s="9">
        <v>113.0248</v>
      </c>
      <c r="F15" s="9">
        <v>34.840000000000003</v>
      </c>
      <c r="G15" s="10">
        <v>0.96730000000000005</v>
      </c>
      <c r="H15" s="9">
        <f t="shared" si="0"/>
        <v>7.5210539059247336E-44</v>
      </c>
      <c r="I15" s="74">
        <v>9.81</v>
      </c>
      <c r="J15" s="15">
        <v>174</v>
      </c>
    </row>
    <row r="16" spans="1:10" x14ac:dyDescent="0.25">
      <c r="A16" s="7">
        <v>44977</v>
      </c>
      <c r="B16" s="8" t="s">
        <v>120</v>
      </c>
      <c r="C16" s="11">
        <v>6.2566150000000001E-2</v>
      </c>
      <c r="D16" s="9">
        <v>2.65</v>
      </c>
      <c r="E16" s="9">
        <v>113.05289999999999</v>
      </c>
      <c r="F16" s="9">
        <v>34.840000000000003</v>
      </c>
      <c r="G16" s="10">
        <v>0.96730000000000005</v>
      </c>
      <c r="H16" s="9">
        <f t="shared" si="0"/>
        <v>7.6324800619910523E-44</v>
      </c>
      <c r="I16" s="74">
        <v>9.91</v>
      </c>
      <c r="J16" s="15">
        <v>174</v>
      </c>
    </row>
    <row r="17" spans="1:10" x14ac:dyDescent="0.25">
      <c r="A17" s="7">
        <v>44985</v>
      </c>
      <c r="B17" s="8" t="s">
        <v>121</v>
      </c>
      <c r="C17" s="9">
        <v>6.1121170000000002E-2</v>
      </c>
      <c r="D17" s="9">
        <v>2.65</v>
      </c>
      <c r="E17" s="9">
        <v>113.0205</v>
      </c>
      <c r="F17" s="9">
        <v>34.840000000000003</v>
      </c>
      <c r="G17" s="10">
        <v>0.96730000000000005</v>
      </c>
      <c r="H17" s="9">
        <f t="shared" si="0"/>
        <v>7.4519329755151134E-44</v>
      </c>
      <c r="I17" s="74">
        <v>9.69</v>
      </c>
      <c r="J17" s="15">
        <v>174</v>
      </c>
    </row>
    <row r="18" spans="1:10" x14ac:dyDescent="0.25">
      <c r="I18" s="13"/>
    </row>
    <row r="19" spans="1:10" x14ac:dyDescent="0.25">
      <c r="I19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4CB93-498A-4448-A022-C1218FDFC606}">
  <sheetPr>
    <tabColor theme="9"/>
  </sheetPr>
  <dimension ref="A1:AV63"/>
  <sheetViews>
    <sheetView zoomScaleNormal="100" workbookViewId="0">
      <selection activeCell="F2" sqref="F2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5.710937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42" t="s">
        <v>32</v>
      </c>
      <c r="B1" s="43">
        <v>44936</v>
      </c>
      <c r="H1" s="38" t="s">
        <v>20</v>
      </c>
      <c r="I1" s="38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>
        <v>7.85</v>
      </c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91" t="s">
        <v>8</v>
      </c>
      <c r="B4" s="91" t="s">
        <v>30</v>
      </c>
      <c r="C4" s="91" t="s">
        <v>31</v>
      </c>
      <c r="D4" s="91" t="s">
        <v>68</v>
      </c>
      <c r="E4" s="91" t="s">
        <v>69</v>
      </c>
      <c r="H4" s="91" t="s">
        <v>9</v>
      </c>
      <c r="I4" s="91" t="s">
        <v>86</v>
      </c>
      <c r="J4" s="91" t="s">
        <v>2</v>
      </c>
      <c r="K4" s="91" t="s">
        <v>3</v>
      </c>
      <c r="L4" s="91" t="s">
        <v>4</v>
      </c>
      <c r="M4" s="91" t="s">
        <v>5</v>
      </c>
      <c r="N4" s="5" t="s">
        <v>15</v>
      </c>
      <c r="O4" s="5" t="s">
        <v>111</v>
      </c>
      <c r="P4" s="5" t="s">
        <v>110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91" t="s">
        <v>11</v>
      </c>
      <c r="B5" s="91" t="s">
        <v>93</v>
      </c>
      <c r="C5" s="91" t="s">
        <v>93</v>
      </c>
      <c r="D5" s="91" t="s">
        <v>13</v>
      </c>
      <c r="E5" s="91" t="s">
        <v>13</v>
      </c>
      <c r="H5" s="91" t="s">
        <v>11</v>
      </c>
      <c r="I5" s="91" t="s">
        <v>11</v>
      </c>
      <c r="J5" s="91" t="s">
        <v>11</v>
      </c>
      <c r="K5" s="91" t="s">
        <v>16</v>
      </c>
      <c r="L5" s="91" t="s">
        <v>19</v>
      </c>
      <c r="M5" s="91" t="s">
        <v>13</v>
      </c>
      <c r="N5" s="5" t="s">
        <v>12</v>
      </c>
      <c r="O5" s="5"/>
      <c r="P5" s="5" t="s">
        <v>12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19.2</v>
      </c>
      <c r="C6" s="18">
        <f t="shared" ref="C6:C17" si="0">B6*(100-B$18)/B$19</f>
        <v>19.171279723526077</v>
      </c>
      <c r="D6" s="18">
        <f>INDEX(MAC!$H$3:$H$16,MATCH('LA-Ref 0.4'!$A6,MAC!$A$3:$A$16,0))</f>
        <v>35.900659077291785</v>
      </c>
      <c r="E6" s="18">
        <f>C6*D6/100</f>
        <v>6.8826157742970633</v>
      </c>
      <c r="F6" s="39"/>
      <c r="G6" s="39"/>
      <c r="H6" s="91" t="s">
        <v>34</v>
      </c>
      <c r="I6" s="91"/>
      <c r="J6" s="91">
        <f>0.00002217</f>
        <v>2.2169999999999999E-5</v>
      </c>
      <c r="K6" s="91">
        <v>3.15</v>
      </c>
      <c r="L6" s="91">
        <v>2166.0790000000002</v>
      </c>
      <c r="M6" s="5">
        <f t="shared" ref="M6:M17" si="1">$E$19</f>
        <v>98.428726733051704</v>
      </c>
      <c r="N6" s="6">
        <f>100*J6*K6*(L6*0.00000001^3)^2*M6/INDEX('Reference-aQuartz'!$H$4:$H$17,MATCH($B$1,'Reference-aQuartz'!$A$4:$A$17,0))</f>
        <v>42.970077038272549</v>
      </c>
      <c r="O6" s="80">
        <f>J6*K6*(L6*0.00000001^3)^2</f>
        <v>3.2766105913733748E-46</v>
      </c>
      <c r="P6" s="32">
        <f>100*O6/SUM($O$6:$O$17)</f>
        <v>48.01147945212206</v>
      </c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5.2</v>
      </c>
      <c r="C7" s="18">
        <f t="shared" si="0"/>
        <v>5.1922215917883126</v>
      </c>
      <c r="D7" s="18">
        <f>INDEX(MAC!$H$3:$H$16,MATCH('LA-Ref 0.4'!$A7,MAC!$A$3:$A$16,0))</f>
        <v>31.664851266660783</v>
      </c>
      <c r="E7" s="18">
        <f t="shared" ref="E7:E18" si="2">C7*D7/100</f>
        <v>1.6441092444752161</v>
      </c>
      <c r="F7" s="39"/>
      <c r="G7" s="39"/>
      <c r="H7" s="91" t="s">
        <v>35</v>
      </c>
      <c r="I7" s="91">
        <v>94742</v>
      </c>
      <c r="J7" s="91">
        <f>0.00000199</f>
        <v>1.99E-6</v>
      </c>
      <c r="K7" s="91">
        <v>3.16</v>
      </c>
      <c r="L7" s="91">
        <v>4316.1279999999997</v>
      </c>
      <c r="M7" s="5">
        <f t="shared" si="1"/>
        <v>98.428726733051704</v>
      </c>
      <c r="N7" s="6">
        <f>100*J7*K7*(L7*0.00000001^3)^2*M7/INDEX('Reference-aQuartz'!$H$4:$H$17,MATCH($B$1,'Reference-aQuartz'!$A$4:$A$17,0))</f>
        <v>15.362789929122584</v>
      </c>
      <c r="O7" s="80">
        <f t="shared" ref="O7:O17" si="3">J7*K7*(L7*0.00000001^3)^2</f>
        <v>1.1714635780143559E-46</v>
      </c>
      <c r="P7" s="32">
        <f t="shared" ref="P7:P17" si="4">100*O7/SUM($O$6:$O$17)</f>
        <v>17.165207135942076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3.67</v>
      </c>
      <c r="C8" s="18">
        <f t="shared" si="0"/>
        <v>3.6645102388198283</v>
      </c>
      <c r="D8" s="18">
        <f>INDEX(MAC!$H$3:$H$16,MATCH('LA-Ref 0.4'!$A8,MAC!$A$3:$A$16,0))</f>
        <v>214.68463619455559</v>
      </c>
      <c r="E8" s="18">
        <f t="shared" si="2"/>
        <v>7.8671404745225892</v>
      </c>
      <c r="F8" s="39"/>
      <c r="G8" s="39"/>
      <c r="H8" s="91" t="s">
        <v>36</v>
      </c>
      <c r="I8" s="91">
        <v>81096</v>
      </c>
      <c r="J8" s="91">
        <v>1.7540000000000001E-4</v>
      </c>
      <c r="K8" s="91">
        <v>3.29</v>
      </c>
      <c r="L8" s="91">
        <v>347.22930000000002</v>
      </c>
      <c r="M8" s="5">
        <f t="shared" si="1"/>
        <v>98.428726733051704</v>
      </c>
      <c r="N8" s="6">
        <f>100*J8*K8*(L8*0.00000001^3)^2*M8/INDEX('Reference-aQuartz'!$H$4:$H$17,MATCH($B$1,'Reference-aQuartz'!$A$4:$A$17,0))</f>
        <v>9.1242992026815184</v>
      </c>
      <c r="O8" s="80">
        <f t="shared" si="3"/>
        <v>6.9575801271516139E-47</v>
      </c>
      <c r="P8" s="32">
        <f t="shared" si="4"/>
        <v>10.194794468122005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1</v>
      </c>
      <c r="C9" s="18">
        <f t="shared" si="0"/>
        <v>0.99850415226698319</v>
      </c>
      <c r="D9" s="18">
        <f>INDEX(MAC!$H$3:$H$16,MATCH('LA-Ref 0.4'!$A9,MAC!$A$3:$A$16,0))</f>
        <v>28.686693628423974</v>
      </c>
      <c r="E9" s="18">
        <f t="shared" si="2"/>
        <v>0.28643782702792148</v>
      </c>
      <c r="F9" s="39"/>
      <c r="G9" s="39"/>
      <c r="H9" s="91" t="s">
        <v>37</v>
      </c>
      <c r="I9" s="91">
        <v>1841</v>
      </c>
      <c r="J9" s="91">
        <f>0.00000065</f>
        <v>6.5000000000000002E-7</v>
      </c>
      <c r="K9" s="91">
        <v>3.04</v>
      </c>
      <c r="L9" s="91">
        <v>3541.5859999999998</v>
      </c>
      <c r="M9" s="5">
        <f t="shared" si="1"/>
        <v>98.428726733051704</v>
      </c>
      <c r="N9" s="6">
        <f>100*J9*K9*(L9*0.00000001^3)^2*M9/INDEX('Reference-aQuartz'!$H$4:$H$17,MATCH($B$1,'Reference-aQuartz'!$A$4:$A$17,0))</f>
        <v>3.2503028316158669</v>
      </c>
      <c r="O9" s="80">
        <f t="shared" si="3"/>
        <v>2.4784634837302495E-47</v>
      </c>
      <c r="P9" s="32">
        <f t="shared" si="4"/>
        <v>3.6316399310689436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63.4</v>
      </c>
      <c r="C10" s="18">
        <f t="shared" si="0"/>
        <v>63.305163253726732</v>
      </c>
      <c r="D10" s="18">
        <f>INDEX(MAC!$H$3:$H$16,MATCH('LA-Ref 0.4'!$A10,MAC!$A$3:$A$16,0))</f>
        <v>124.77929454143408</v>
      </c>
      <c r="E10" s="18">
        <f t="shared" si="2"/>
        <v>78.991736116303372</v>
      </c>
      <c r="F10" s="39"/>
      <c r="G10" s="39"/>
      <c r="H10" s="91" t="s">
        <v>38</v>
      </c>
      <c r="I10" s="91">
        <v>98836</v>
      </c>
      <c r="J10" s="91">
        <f>0.00010547</f>
        <v>1.0547E-4</v>
      </c>
      <c r="K10" s="91">
        <v>3.75</v>
      </c>
      <c r="L10" s="91">
        <v>430.91660000000002</v>
      </c>
      <c r="M10" s="5">
        <f t="shared" si="1"/>
        <v>98.428726733051704</v>
      </c>
      <c r="N10" s="6">
        <f>100*J10*K10*(L10*0.00000001^3)^2*M10/INDEX('Reference-aQuartz'!$H$4:$H$17,MATCH($B$1,'Reference-aQuartz'!$A$4:$A$17,0))</f>
        <v>9.631367721829788</v>
      </c>
      <c r="O10" s="80">
        <f t="shared" si="3"/>
        <v>7.3442366553475945E-47</v>
      </c>
      <c r="P10" s="32">
        <f t="shared" si="4"/>
        <v>10.761354071127171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0.38</v>
      </c>
      <c r="C11" s="18">
        <f t="shared" si="0"/>
        <v>0.3794315778614536</v>
      </c>
      <c r="D11" s="18">
        <f>INDEX(MAC!$H$3:$H$16,MATCH('LA-Ref 0.4'!$A11,MAC!$A$3:$A$16,0))</f>
        <v>122.32505440840811</v>
      </c>
      <c r="E11" s="18">
        <f t="shared" si="2"/>
        <v>0.46413988406170448</v>
      </c>
      <c r="F11" s="39"/>
      <c r="G11" s="39"/>
      <c r="H11" s="91" t="s">
        <v>39</v>
      </c>
      <c r="I11" s="91">
        <v>79529</v>
      </c>
      <c r="J11" s="91">
        <f>0.00000606</f>
        <v>6.0599999999999996E-6</v>
      </c>
      <c r="K11" s="91">
        <v>2.72</v>
      </c>
      <c r="L11" s="91">
        <v>1062.077</v>
      </c>
      <c r="M11" s="5">
        <f t="shared" si="1"/>
        <v>98.428726733051704</v>
      </c>
      <c r="N11" s="6">
        <f>100*J11*K11*(L11*0.00000001^3)^2*M11/INDEX('Reference-aQuartz'!$H$4:$H$17,MATCH($B$1,'Reference-aQuartz'!$A$4:$A$17,0))</f>
        <v>2.4383432261427762</v>
      </c>
      <c r="O11" s="80">
        <f t="shared" si="3"/>
        <v>1.8593174112922499E-47</v>
      </c>
      <c r="P11" s="32">
        <f t="shared" si="4"/>
        <v>2.7244183340631318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3.14</v>
      </c>
      <c r="C12" s="18">
        <f t="shared" si="0"/>
        <v>3.1353030381183276</v>
      </c>
      <c r="D12" s="18">
        <f>INDEX(MAC!$H$3:$H$16,MATCH('LA-Ref 0.4'!$A12,MAC!$A$3:$A$16,0))</f>
        <v>44.261072668681777</v>
      </c>
      <c r="E12" s="18">
        <f t="shared" si="2"/>
        <v>1.3877187560849404</v>
      </c>
      <c r="F12" s="39"/>
      <c r="G12" s="39"/>
      <c r="H12" s="91" t="s">
        <v>25</v>
      </c>
      <c r="I12" s="91">
        <v>73446</v>
      </c>
      <c r="J12" s="65">
        <f>0.00008299</f>
        <v>8.2990000000000003E-5</v>
      </c>
      <c r="K12" s="91">
        <v>2.72</v>
      </c>
      <c r="L12" s="91">
        <v>367.07459999999998</v>
      </c>
      <c r="M12" s="5">
        <f t="shared" si="1"/>
        <v>98.428726733051704</v>
      </c>
      <c r="N12" s="6">
        <f>100*J12*K12*(L12*0.00000001^3)^2*M12/INDEX('Reference-aQuartz'!$H$4:$H$17,MATCH($B$1,'Reference-aQuartz'!$A$4:$A$17,0))</f>
        <v>3.9888218358739502</v>
      </c>
      <c r="O12" s="80">
        <f t="shared" si="3"/>
        <v>3.0416086670929076E-47</v>
      </c>
      <c r="P12" s="32">
        <f t="shared" si="4"/>
        <v>4.4568046140728264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0.13</v>
      </c>
      <c r="C13" s="18">
        <f t="shared" si="0"/>
        <v>0.12980553979470782</v>
      </c>
      <c r="D13" s="18">
        <f>INDEX(MAC!$H$3:$H$16,MATCH('LA-Ref 0.4'!$A13,MAC!$A$3:$A$16,0))</f>
        <v>97.328178229861322</v>
      </c>
      <c r="E13" s="18">
        <f t="shared" si="2"/>
        <v>0.12633736712362681</v>
      </c>
      <c r="F13" s="39"/>
      <c r="G13" s="39"/>
      <c r="H13" s="91" t="s">
        <v>44</v>
      </c>
      <c r="I13" s="91">
        <v>15876</v>
      </c>
      <c r="J13" s="91">
        <f>0.00006886</f>
        <v>6.8860000000000001E-5</v>
      </c>
      <c r="K13" s="91">
        <v>2.96</v>
      </c>
      <c r="L13" s="91">
        <v>305.89389999999997</v>
      </c>
      <c r="M13" s="5">
        <f t="shared" si="1"/>
        <v>98.428726733051704</v>
      </c>
      <c r="N13" s="6">
        <f>100*J13*K13*(L13*0.00000001^3)^2*M13/INDEX('Reference-aQuartz'!$H$4:$H$17,MATCH($B$1,'Reference-aQuartz'!$A$4:$A$17,0))</f>
        <v>2.5011610915895699</v>
      </c>
      <c r="O13" s="80">
        <f t="shared" si="3"/>
        <v>1.9072181127657664E-47</v>
      </c>
      <c r="P13" s="32">
        <f t="shared" si="4"/>
        <v>2.7946062151190261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0.33</v>
      </c>
      <c r="C14" s="18">
        <f t="shared" si="0"/>
        <v>0.32950637024810447</v>
      </c>
      <c r="D14" s="18">
        <f>INDEX(MAC!$H$3:$H$16,MATCH('LA-Ref 0.4'!$A14,MAC!$A$3:$A$16,0))</f>
        <v>19.10926020222594</v>
      </c>
      <c r="E14" s="18">
        <f t="shared" si="2"/>
        <v>6.2966229673620283E-2</v>
      </c>
      <c r="F14" s="39"/>
      <c r="G14" s="39"/>
      <c r="H14" s="91" t="s">
        <v>21</v>
      </c>
      <c r="I14" s="91">
        <v>174</v>
      </c>
      <c r="J14" s="91">
        <f>0.00005232</f>
        <v>5.2320000000000001E-5</v>
      </c>
      <c r="K14" s="91">
        <v>2.65</v>
      </c>
      <c r="L14" s="91">
        <v>113.0617</v>
      </c>
      <c r="M14" s="5">
        <f t="shared" si="1"/>
        <v>98.428726733051704</v>
      </c>
      <c r="N14" s="6">
        <f>100*J14*K14*(L14*0.00000001^3)^2*M14/INDEX('Reference-aQuartz'!$H$4:$H$17,MATCH($B$1,'Reference-aQuartz'!$A$4:$A$17,0))</f>
        <v>0.23242665566867277</v>
      </c>
      <c r="O14" s="80">
        <f t="shared" si="3"/>
        <v>1.7723301752592851E-48</v>
      </c>
      <c r="P14" s="32">
        <f t="shared" si="4"/>
        <v>0.25969577836275964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0.19</v>
      </c>
      <c r="C15" s="18">
        <f t="shared" si="0"/>
        <v>0.1897157889307268</v>
      </c>
      <c r="D15" s="18">
        <f>INDEX(MAC!$H$3:$H$16,MATCH('LA-Ref 0.4'!$A15,MAC!$A$3:$A$16,0))</f>
        <v>124.47726788956365</v>
      </c>
      <c r="E15" s="18">
        <f t="shared" si="2"/>
        <v>0.23615303081609995</v>
      </c>
      <c r="F15" s="39"/>
      <c r="G15" s="39"/>
      <c r="H15" s="91"/>
      <c r="I15" s="91"/>
      <c r="J15" s="91"/>
      <c r="K15" s="91"/>
      <c r="L15" s="91"/>
      <c r="M15" s="5">
        <f t="shared" si="1"/>
        <v>98.428726733051704</v>
      </c>
      <c r="N15" s="6">
        <f>100*J15*K15*(L15*0.00000001^3)^2*M15/INDEX('Reference-aQuartz'!$H$4:$H$17,MATCH($B$1,'Reference-aQuartz'!$A$4:$A$17,0))</f>
        <v>0</v>
      </c>
      <c r="O15" s="80">
        <f t="shared" si="3"/>
        <v>0</v>
      </c>
      <c r="P15" s="32">
        <f t="shared" si="4"/>
        <v>0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0.26</v>
      </c>
      <c r="C16" s="18">
        <f t="shared" si="0"/>
        <v>0.25961107958941565</v>
      </c>
      <c r="D16" s="18">
        <f>INDEX(MAC!$H$3:$H$16,MATCH('LA-Ref 0.4'!$A16,MAC!$A$3:$A$16,0))</f>
        <v>39.431437267071992</v>
      </c>
      <c r="E16" s="18">
        <f t="shared" si="2"/>
        <v>0.10236837998666877</v>
      </c>
      <c r="F16" s="39"/>
      <c r="G16" s="39"/>
      <c r="H16" s="91"/>
      <c r="I16" s="91"/>
      <c r="J16" s="91"/>
      <c r="K16" s="91"/>
      <c r="L16" s="91"/>
      <c r="M16" s="5">
        <f t="shared" si="1"/>
        <v>98.428726733051704</v>
      </c>
      <c r="N16" s="6">
        <f>100*J16*K16*(L16*0.00000001^3)^2*M16/INDEX('Reference-aQuartz'!$H$4:$H$17,MATCH($B$1,'Reference-aQuartz'!$A$4:$A$17,0))</f>
        <v>0</v>
      </c>
      <c r="O16" s="80">
        <f t="shared" si="3"/>
        <v>0</v>
      </c>
      <c r="P16" s="32">
        <f t="shared" si="4"/>
        <v>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3.5000000000000003E-2</v>
      </c>
      <c r="C17" s="18">
        <f t="shared" si="0"/>
        <v>3.4947645329344419E-2</v>
      </c>
      <c r="D17" s="18">
        <f>INDEX(MAC!$H$3:$H$16,MATCH('LA-Ref 0.4'!$A17,MAC!$A$3:$A$16,0))</f>
        <v>197.69998688868492</v>
      </c>
      <c r="E17" s="18">
        <f t="shared" si="2"/>
        <v>6.9091490234018019E-2</v>
      </c>
      <c r="H17" s="21"/>
      <c r="I17" s="21"/>
      <c r="J17" s="21"/>
      <c r="K17" s="21"/>
      <c r="L17" s="21"/>
      <c r="M17" s="5">
        <f t="shared" si="1"/>
        <v>98.428726733051704</v>
      </c>
      <c r="N17" s="37">
        <f>100*J17*K17*(L17*0.00000001^3)^2*M17/INDEX('Reference-aQuartz'!$H$4:$H$17,MATCH($B$1,'Reference-aQuartz'!$A$4:$A$17,0))</f>
        <v>0</v>
      </c>
      <c r="O17" s="80">
        <f t="shared" si="3"/>
        <v>0</v>
      </c>
      <c r="P17" s="32">
        <f t="shared" si="4"/>
        <v>0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3.21</v>
      </c>
      <c r="C18" s="18">
        <f>B18</f>
        <v>3.21</v>
      </c>
      <c r="D18" s="18">
        <f>INDEX(MAC!$H$3:$H$16,MATCH('LA-Ref 0.4'!$A18,MAC!$A$3:$A$16,0))</f>
        <v>9.592279079279237</v>
      </c>
      <c r="E18" s="18">
        <f t="shared" si="2"/>
        <v>0.30791215844486347</v>
      </c>
      <c r="H18" s="104" t="s">
        <v>7</v>
      </c>
      <c r="I18" s="105"/>
      <c r="J18" s="105"/>
      <c r="K18" s="105"/>
      <c r="L18" s="105"/>
      <c r="M18" s="106"/>
      <c r="N18" s="37">
        <f>SUM(N6:N17)</f>
        <v>89.499589532797273</v>
      </c>
      <c r="O18" s="79"/>
      <c r="P18" s="32">
        <f>SUM(P6:P17)</f>
        <v>100.00000000000001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91" t="s">
        <v>7</v>
      </c>
      <c r="B19" s="40">
        <f>SUM(B6:B17)</f>
        <v>96.934999999999988</v>
      </c>
      <c r="C19" s="40">
        <f>SUM(C6:C18)</f>
        <v>100</v>
      </c>
      <c r="D19" s="91" t="s">
        <v>29</v>
      </c>
      <c r="E19" s="41">
        <f>SUM(E6:E18)</f>
        <v>98.428726733051704</v>
      </c>
      <c r="H19" s="107" t="s">
        <v>28</v>
      </c>
      <c r="I19" s="108"/>
      <c r="J19" s="108"/>
      <c r="K19" s="108"/>
      <c r="L19" s="108"/>
      <c r="M19" s="109"/>
      <c r="N19" s="37">
        <f>100-N18</f>
        <v>10.500410467202727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44964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0.28000000000000003</v>
      </c>
      <c r="D23" s="52"/>
      <c r="E23" s="52">
        <v>0.28000000000000003</v>
      </c>
      <c r="F23" s="53"/>
    </row>
    <row r="24" spans="1:48" x14ac:dyDescent="0.25">
      <c r="H24" s="46" t="s">
        <v>6</v>
      </c>
      <c r="I24" s="28">
        <v>4.01</v>
      </c>
      <c r="J24" s="33"/>
    </row>
    <row r="25" spans="1:48" x14ac:dyDescent="0.25">
      <c r="A25" s="91" t="s">
        <v>8</v>
      </c>
      <c r="B25" s="91" t="s">
        <v>30</v>
      </c>
      <c r="C25" s="91" t="s">
        <v>31</v>
      </c>
      <c r="D25" s="91" t="s">
        <v>68</v>
      </c>
      <c r="E25" s="91" t="s">
        <v>69</v>
      </c>
      <c r="F25" s="91" t="s">
        <v>74</v>
      </c>
      <c r="G25" s="54"/>
      <c r="H25" s="91" t="s">
        <v>9</v>
      </c>
      <c r="I25" s="91" t="s">
        <v>86</v>
      </c>
      <c r="J25" s="91" t="s">
        <v>2</v>
      </c>
      <c r="K25" s="91" t="s">
        <v>3</v>
      </c>
      <c r="L25" s="91" t="s">
        <v>4</v>
      </c>
      <c r="M25" s="91" t="s">
        <v>5</v>
      </c>
      <c r="N25" s="5" t="s">
        <v>15</v>
      </c>
      <c r="O25" s="5" t="s">
        <v>15</v>
      </c>
      <c r="P25" s="5" t="s">
        <v>15</v>
      </c>
      <c r="Q25" s="91" t="s">
        <v>96</v>
      </c>
      <c r="R25" s="92"/>
      <c r="S25" s="91" t="s">
        <v>122</v>
      </c>
      <c r="T25" s="91" t="s">
        <v>123</v>
      </c>
      <c r="U25" s="91" t="s">
        <v>82</v>
      </c>
      <c r="V25" s="35" t="s">
        <v>83</v>
      </c>
    </row>
    <row r="26" spans="1:48" x14ac:dyDescent="0.25">
      <c r="A26" s="91" t="s">
        <v>11</v>
      </c>
      <c r="B26" s="91" t="s">
        <v>93</v>
      </c>
      <c r="C26" s="91" t="s">
        <v>93</v>
      </c>
      <c r="D26" s="91" t="s">
        <v>13</v>
      </c>
      <c r="E26" s="91" t="s">
        <v>13</v>
      </c>
      <c r="F26" s="91" t="s">
        <v>13</v>
      </c>
      <c r="G26" s="54"/>
      <c r="H26" s="91" t="s">
        <v>11</v>
      </c>
      <c r="I26" s="91" t="s">
        <v>11</v>
      </c>
      <c r="J26" s="91" t="s">
        <v>11</v>
      </c>
      <c r="K26" s="91" t="s">
        <v>16</v>
      </c>
      <c r="L26" s="91" t="s">
        <v>19</v>
      </c>
      <c r="M26" s="91" t="s">
        <v>13</v>
      </c>
      <c r="N26" s="5" t="s">
        <v>75</v>
      </c>
      <c r="O26" s="91" t="s">
        <v>113</v>
      </c>
      <c r="P26" s="91" t="s">
        <v>76</v>
      </c>
      <c r="Q26" s="91" t="s">
        <v>76</v>
      </c>
      <c r="R26" s="92"/>
      <c r="S26" s="91" t="s">
        <v>76</v>
      </c>
      <c r="T26" s="91" t="s">
        <v>76</v>
      </c>
      <c r="U26" s="91" t="s">
        <v>11</v>
      </c>
      <c r="V26" s="35" t="s">
        <v>11</v>
      </c>
    </row>
    <row r="27" spans="1:48" x14ac:dyDescent="0.25">
      <c r="A27" s="1" t="s">
        <v>53</v>
      </c>
      <c r="B27" s="12">
        <f>0.65*'LA-Ref 0.4'!B6+0.35*B6</f>
        <v>19.2</v>
      </c>
      <c r="C27" s="18">
        <f>B27*(100-B$39)/B$41</f>
        <v>19.171279723526077</v>
      </c>
      <c r="D27" s="18">
        <f>INDEX(MAC!$H$3:$H$16,MATCH($A27,MAC!$A$3:$A$16,0))</f>
        <v>35.900659077291785</v>
      </c>
      <c r="E27" s="18">
        <f>C27*D27/100</f>
        <v>6.8826157742970633</v>
      </c>
      <c r="F27" s="21"/>
      <c r="G27" s="55"/>
      <c r="H27" s="91" t="s">
        <v>34</v>
      </c>
      <c r="I27" s="91"/>
      <c r="J27" s="65">
        <v>2.3300000000000001E-6</v>
      </c>
      <c r="K27" s="91">
        <f>'LA-Ref 0.4'!K6</f>
        <v>3.15</v>
      </c>
      <c r="L27" s="91">
        <f>'LA-Ref 0.4'!L6</f>
        <v>2166.0790000000002</v>
      </c>
      <c r="M27" s="5">
        <f>$F$41</f>
        <v>73.740595081269333</v>
      </c>
      <c r="N27" s="6">
        <f>100*J27*K27*(L27*0.00000001^3)^2*M27/INDEX('Reference-aQuartz'!$H$4:$H$17,MATCH($B$22,'Reference-aQuartz'!$A$4:$A$17,0))</f>
        <v>3.3763152878903959</v>
      </c>
      <c r="O27" s="32">
        <f>P27</f>
        <v>4.321683568499707</v>
      </c>
      <c r="P27" s="31">
        <f>N27*(1+$E$23)</f>
        <v>4.321683568499707</v>
      </c>
      <c r="Q27" s="69"/>
      <c r="R27" s="110" t="s">
        <v>79</v>
      </c>
      <c r="S27" s="100">
        <f>'LA-Ref 0.4'!P6+'LA-Ref 0.4'!P7</f>
        <v>65.176686588064143</v>
      </c>
      <c r="T27" s="100">
        <f>P27+P28</f>
        <v>5.3559719734613545</v>
      </c>
      <c r="U27" s="102">
        <f>(S27-T27)/S27</f>
        <v>0.91782380704142463</v>
      </c>
      <c r="V27" s="29">
        <f>(U27*S27+U29*S29+U30*S30+U31*S31)/S32</f>
        <v>0.8497725935507483</v>
      </c>
    </row>
    <row r="28" spans="1:48" x14ac:dyDescent="0.25">
      <c r="A28" s="1" t="s">
        <v>54</v>
      </c>
      <c r="B28" s="12">
        <f>0.65*'LA-Ref 0.4'!B7+0.35*B7</f>
        <v>5.2</v>
      </c>
      <c r="C28" s="18">
        <f t="shared" ref="C28:C38" si="5">B28*(100-B$39)/B$41</f>
        <v>5.1922215917883126</v>
      </c>
      <c r="D28" s="18">
        <f>INDEX(MAC!$H$3:$H$16,MATCH($A28,MAC!$A$3:$A$16,0))</f>
        <v>31.664851266660783</v>
      </c>
      <c r="E28" s="18">
        <f t="shared" ref="E28:E39" si="6">C28*D28/100</f>
        <v>1.6441092444752161</v>
      </c>
      <c r="F28" s="21"/>
      <c r="G28" s="55"/>
      <c r="H28" s="91" t="s">
        <v>35</v>
      </c>
      <c r="I28" s="91">
        <v>94742</v>
      </c>
      <c r="J28" s="65">
        <v>1.4000000000000001E-7</v>
      </c>
      <c r="K28" s="91">
        <f>'LA-Ref 0.4'!K7</f>
        <v>3.16</v>
      </c>
      <c r="L28" s="91">
        <f>'LA-Ref 0.4'!L7</f>
        <v>4316.1279999999997</v>
      </c>
      <c r="M28" s="5">
        <f t="shared" ref="M28:M39" si="7">$F$41</f>
        <v>73.740595081269333</v>
      </c>
      <c r="N28" s="6">
        <f>100*J28*K28*(L28*0.00000001^3)^2*M28/INDEX('Reference-aQuartz'!$H$4:$H$17,MATCH($B$22,'Reference-aQuartz'!$A$4:$A$17,0))</f>
        <v>0.80803781637628735</v>
      </c>
      <c r="O28" s="32">
        <f t="shared" ref="O28:O39" si="8">P28</f>
        <v>1.0342884049616479</v>
      </c>
      <c r="P28" s="31">
        <f t="shared" ref="P28:P39" si="9">N28*(1+$E$23)</f>
        <v>1.0342884049616479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0.4'!B8+0.35*B8</f>
        <v>3.67</v>
      </c>
      <c r="C29" s="18">
        <f t="shared" si="5"/>
        <v>3.6645102388198283</v>
      </c>
      <c r="D29" s="18">
        <f>INDEX(MAC!$H$3:$H$16,MATCH($A29,MAC!$A$3:$A$16,0))</f>
        <v>214.68463619455559</v>
      </c>
      <c r="E29" s="18">
        <f t="shared" si="6"/>
        <v>7.8671404745225892</v>
      </c>
      <c r="F29" s="21"/>
      <c r="G29" s="55"/>
      <c r="H29" s="91" t="s">
        <v>36</v>
      </c>
      <c r="I29" s="91">
        <v>81096</v>
      </c>
      <c r="J29" s="91">
        <v>1.1697E-4</v>
      </c>
      <c r="K29" s="91">
        <f>'LA-Ref 0.4'!K8</f>
        <v>3.29</v>
      </c>
      <c r="L29" s="91">
        <f>'LA-Ref 0.4'!L8</f>
        <v>347.22930000000002</v>
      </c>
      <c r="M29" s="5">
        <f t="shared" si="7"/>
        <v>73.740595081269333</v>
      </c>
      <c r="N29" s="6">
        <f>100*J29*K29*(L29*0.00000001^3)^2*M29/INDEX('Reference-aQuartz'!$H$4:$H$17,MATCH($B$22,'Reference-aQuartz'!$A$4:$A$17,0))</f>
        <v>4.5491583475888193</v>
      </c>
      <c r="O29" s="32">
        <f t="shared" si="8"/>
        <v>5.8229226849136886</v>
      </c>
      <c r="P29" s="31">
        <f t="shared" si="9"/>
        <v>5.8229226849136886</v>
      </c>
      <c r="Q29" s="69"/>
      <c r="R29" s="92" t="s">
        <v>80</v>
      </c>
      <c r="S29" s="69">
        <f>'LA-Ref 0.4'!P8</f>
        <v>10.194794468122005</v>
      </c>
      <c r="T29" s="69">
        <f>P29</f>
        <v>5.8229226849136886</v>
      </c>
      <c r="U29" s="34">
        <f>(S29-T29)/S29</f>
        <v>0.42883373440030359</v>
      </c>
    </row>
    <row r="30" spans="1:48" x14ac:dyDescent="0.25">
      <c r="A30" s="1" t="s">
        <v>0</v>
      </c>
      <c r="B30" s="12">
        <f>0.65*'LA-Ref 0.4'!B9+0.35*B9</f>
        <v>1</v>
      </c>
      <c r="C30" s="18">
        <f t="shared" si="5"/>
        <v>0.99850415226698319</v>
      </c>
      <c r="D30" s="18">
        <f>INDEX(MAC!$H$3:$H$16,MATCH($A30,MAC!$A$3:$A$16,0))</f>
        <v>28.686693628423974</v>
      </c>
      <c r="E30" s="18">
        <f t="shared" si="6"/>
        <v>0.28643782702792148</v>
      </c>
      <c r="F30" s="21"/>
      <c r="G30" s="55"/>
      <c r="H30" s="91" t="s">
        <v>37</v>
      </c>
      <c r="I30" s="91">
        <v>1841</v>
      </c>
      <c r="J30" s="91">
        <v>0</v>
      </c>
      <c r="K30" s="91">
        <f>'LA-Ref 0.4'!K9</f>
        <v>3.04</v>
      </c>
      <c r="L30" s="91">
        <f>'LA-Ref 0.4'!L9</f>
        <v>3541.5859999999998</v>
      </c>
      <c r="M30" s="5">
        <f t="shared" si="7"/>
        <v>73.740595081269333</v>
      </c>
      <c r="N30" s="6">
        <f>100*J30*K30*(L30*0.00000001^3)^2*M30/INDEX('Reference-aQuartz'!$H$4:$H$17,MATCH($B$22,'Reference-aQuartz'!$A$4:$A$17,0))</f>
        <v>0</v>
      </c>
      <c r="O30" s="32">
        <f t="shared" si="8"/>
        <v>0</v>
      </c>
      <c r="P30" s="31">
        <f t="shared" si="9"/>
        <v>0</v>
      </c>
      <c r="Q30" s="69"/>
      <c r="R30" s="92" t="s">
        <v>37</v>
      </c>
      <c r="S30" s="69">
        <f>'LA-Ref 0.4'!P9</f>
        <v>3.6316399310689436</v>
      </c>
      <c r="T30" s="69">
        <f>P30</f>
        <v>0</v>
      </c>
      <c r="U30" s="34">
        <f t="shared" ref="U30:U31" si="10">(S30-T30)/S30</f>
        <v>1</v>
      </c>
    </row>
    <row r="31" spans="1:48" x14ac:dyDescent="0.25">
      <c r="A31" s="1" t="s">
        <v>1</v>
      </c>
      <c r="B31" s="12">
        <f>0.65*'LA-Ref 0.4'!B10+0.35*B10</f>
        <v>63.4</v>
      </c>
      <c r="C31" s="18">
        <f t="shared" si="5"/>
        <v>63.305163253726732</v>
      </c>
      <c r="D31" s="18">
        <f>INDEX(MAC!$H$3:$H$16,MATCH($A31,MAC!$A$3:$A$16,0))</f>
        <v>124.77929454143408</v>
      </c>
      <c r="E31" s="18">
        <f t="shared" si="6"/>
        <v>78.991736116303372</v>
      </c>
      <c r="F31" s="21"/>
      <c r="G31" s="55"/>
      <c r="H31" s="91" t="s">
        <v>38</v>
      </c>
      <c r="I31" s="91">
        <v>98836</v>
      </c>
      <c r="J31" s="65">
        <v>2.639E-5</v>
      </c>
      <c r="K31" s="91">
        <f>'LA-Ref 0.4'!K10</f>
        <v>3.75</v>
      </c>
      <c r="L31" s="91">
        <f>'LA-Ref 0.4'!L10</f>
        <v>430.91660000000002</v>
      </c>
      <c r="M31" s="5">
        <f t="shared" si="7"/>
        <v>73.740595081269333</v>
      </c>
      <c r="N31" s="6">
        <f>100*J31*K31*(L31*0.00000001^3)^2*M31/INDEX('Reference-aQuartz'!$H$4:$H$17,MATCH($B$22,'Reference-aQuartz'!$A$4:$A$17,0))</f>
        <v>1.8017106413470845</v>
      </c>
      <c r="O31" s="32">
        <f t="shared" si="8"/>
        <v>2.3061896209242683</v>
      </c>
      <c r="P31" s="31">
        <f t="shared" si="9"/>
        <v>2.3061896209242683</v>
      </c>
      <c r="Q31" s="69"/>
      <c r="R31" s="92" t="s">
        <v>81</v>
      </c>
      <c r="S31" s="69">
        <f>'LA-Ref 0.4'!P10</f>
        <v>10.761354071127171</v>
      </c>
      <c r="T31" s="69">
        <f>P31</f>
        <v>2.3061896209242683</v>
      </c>
      <c r="U31" s="34">
        <f t="shared" si="10"/>
        <v>0.7856970781110344</v>
      </c>
    </row>
    <row r="32" spans="1:48" x14ac:dyDescent="0.25">
      <c r="A32" s="1" t="s">
        <v>56</v>
      </c>
      <c r="B32" s="12">
        <f>0.65*'LA-Ref 0.4'!B11+0.35*B11</f>
        <v>0.38</v>
      </c>
      <c r="C32" s="18">
        <f t="shared" si="5"/>
        <v>0.3794315778614536</v>
      </c>
      <c r="D32" s="18">
        <f>INDEX(MAC!$H$3:$H$16,MATCH($A32,MAC!$A$3:$A$16,0))</f>
        <v>122.32505440840811</v>
      </c>
      <c r="E32" s="18">
        <f t="shared" si="6"/>
        <v>0.46413988406170448</v>
      </c>
      <c r="F32" s="21"/>
      <c r="G32" s="55"/>
      <c r="H32" s="91" t="s">
        <v>40</v>
      </c>
      <c r="I32" s="91">
        <v>202220</v>
      </c>
      <c r="J32" s="91">
        <v>1.8216610000000001E-2</v>
      </c>
      <c r="K32" s="91">
        <v>2.2400000000000002</v>
      </c>
      <c r="L32" s="91">
        <v>54.874630000000003</v>
      </c>
      <c r="M32" s="5">
        <f t="shared" si="7"/>
        <v>73.740595081269333</v>
      </c>
      <c r="N32" s="6">
        <f>100*J32*K32*(L32*0.00000001^3)^2*M32/INDEX('Reference-aQuartz'!$H$4:$H$17,MATCH($B$22,'Reference-aQuartz'!$A$4:$A$17,0))</f>
        <v>12.047216787335113</v>
      </c>
      <c r="O32" s="32">
        <f t="shared" si="8"/>
        <v>15.420437487788945</v>
      </c>
      <c r="P32" s="31">
        <f t="shared" si="9"/>
        <v>15.420437487788945</v>
      </c>
      <c r="Q32" s="69">
        <v>15</v>
      </c>
      <c r="R32" s="92" t="s">
        <v>84</v>
      </c>
      <c r="S32" s="69">
        <f>SUM(S27:S31)</f>
        <v>89.764475058382274</v>
      </c>
      <c r="T32" s="69">
        <f>SUM(T27:T31)</f>
        <v>13.485084279299311</v>
      </c>
    </row>
    <row r="33" spans="1:22" x14ac:dyDescent="0.25">
      <c r="A33" s="1" t="s">
        <v>57</v>
      </c>
      <c r="B33" s="12">
        <f>0.65*'LA-Ref 0.4'!B12+0.35*B12</f>
        <v>3.1400000000000006</v>
      </c>
      <c r="C33" s="18">
        <f t="shared" si="5"/>
        <v>3.135303038118328</v>
      </c>
      <c r="D33" s="18">
        <f>INDEX(MAC!$H$3:$H$16,MATCH($A33,MAC!$A$3:$A$16,0))</f>
        <v>44.261072668681777</v>
      </c>
      <c r="E33" s="18">
        <f t="shared" si="6"/>
        <v>1.3877187560849407</v>
      </c>
      <c r="F33" s="21"/>
      <c r="G33" s="55"/>
      <c r="H33" s="91" t="s">
        <v>25</v>
      </c>
      <c r="I33" s="91">
        <v>73446</v>
      </c>
      <c r="J33" s="65">
        <v>4.2160000000000003E-5</v>
      </c>
      <c r="K33" s="91">
        <v>2.72</v>
      </c>
      <c r="L33" s="91">
        <v>367.22890000000001</v>
      </c>
      <c r="M33" s="5">
        <f t="shared" si="7"/>
        <v>73.740595081269333</v>
      </c>
      <c r="N33" s="6">
        <f>100*J33*K33*(L33*0.00000001^3)^2*M33/INDEX('Reference-aQuartz'!$H$4:$H$17,MATCH($B$22,'Reference-aQuartz'!$A$4:$A$17,0))</f>
        <v>1.5162511608086473</v>
      </c>
      <c r="O33" s="32">
        <f t="shared" si="8"/>
        <v>1.9408014858350686</v>
      </c>
      <c r="P33" s="31">
        <f t="shared" si="9"/>
        <v>1.9408014858350686</v>
      </c>
      <c r="Q33" s="69">
        <v>1.74</v>
      </c>
    </row>
    <row r="34" spans="1:22" x14ac:dyDescent="0.25">
      <c r="A34" s="1" t="s">
        <v>14</v>
      </c>
      <c r="B34" s="12">
        <f>0.65*'LA-Ref 0.4'!B13+0.35*B13</f>
        <v>0.13</v>
      </c>
      <c r="C34" s="18">
        <f t="shared" si="5"/>
        <v>0.12980553979470782</v>
      </c>
      <c r="D34" s="18">
        <f>INDEX(MAC!$H$3:$H$16,MATCH($A34,MAC!$A$3:$A$16,0))</f>
        <v>97.328178229861322</v>
      </c>
      <c r="E34" s="18">
        <f t="shared" si="6"/>
        <v>0.12633736712362681</v>
      </c>
      <c r="F34" s="21"/>
      <c r="G34" s="55"/>
      <c r="H34" s="91" t="s">
        <v>21</v>
      </c>
      <c r="I34" s="91">
        <v>174</v>
      </c>
      <c r="J34" s="65">
        <v>4.1770000000000002E-5</v>
      </c>
      <c r="K34" s="91">
        <v>2.64</v>
      </c>
      <c r="L34" s="91">
        <v>113.4346</v>
      </c>
      <c r="M34" s="5">
        <f t="shared" si="7"/>
        <v>73.740595081269333</v>
      </c>
      <c r="N34" s="6">
        <f>100*J34*K34*(L34*0.00000001^3)^2*M34/INDEX('Reference-aQuartz'!$H$4:$H$17,MATCH($B$22,'Reference-aQuartz'!$A$4:$A$17,0))</f>
        <v>0.13911931372258748</v>
      </c>
      <c r="O34" s="32">
        <f t="shared" si="8"/>
        <v>0.178072721564912</v>
      </c>
      <c r="P34" s="31">
        <f t="shared" si="9"/>
        <v>0.178072721564912</v>
      </c>
      <c r="Q34" s="69"/>
    </row>
    <row r="35" spans="1:22" x14ac:dyDescent="0.25">
      <c r="A35" s="1" t="s">
        <v>58</v>
      </c>
      <c r="B35" s="12">
        <f>0.65*'LA-Ref 0.4'!B14+0.35*B14</f>
        <v>0.33</v>
      </c>
      <c r="C35" s="18">
        <f t="shared" si="5"/>
        <v>0.32950637024810447</v>
      </c>
      <c r="D35" s="18">
        <f>INDEX(MAC!$H$3:$H$16,MATCH($A35,MAC!$A$3:$A$16,0))</f>
        <v>19.10926020222594</v>
      </c>
      <c r="E35" s="18">
        <f t="shared" si="6"/>
        <v>6.2966229673620283E-2</v>
      </c>
      <c r="F35" s="21"/>
      <c r="G35" s="55"/>
      <c r="H35" s="91" t="s">
        <v>87</v>
      </c>
      <c r="I35" s="91">
        <v>155395</v>
      </c>
      <c r="J35" s="65">
        <v>4.07E-6</v>
      </c>
      <c r="K35" s="91">
        <v>1.79</v>
      </c>
      <c r="L35" s="91">
        <v>2329.893</v>
      </c>
      <c r="M35" s="5">
        <f t="shared" si="7"/>
        <v>73.740595081269333</v>
      </c>
      <c r="N35" s="6">
        <f>100*J35*K35*(L35*0.00000001^3)^2*M35/INDEX('Reference-aQuartz'!$H$4:$H$17,MATCH($B$22,'Reference-aQuartz'!$A$4:$A$17,0))</f>
        <v>3.8774600323432349</v>
      </c>
      <c r="O35" s="32">
        <f t="shared" si="8"/>
        <v>4.9631488413993408</v>
      </c>
      <c r="P35" s="31">
        <f t="shared" si="9"/>
        <v>4.9631488413993408</v>
      </c>
      <c r="Q35" s="69"/>
    </row>
    <row r="36" spans="1:22" x14ac:dyDescent="0.25">
      <c r="A36" s="1" t="s">
        <v>59</v>
      </c>
      <c r="B36" s="12">
        <f>0.65*'LA-Ref 0.4'!B15+0.35*B15</f>
        <v>0.19</v>
      </c>
      <c r="C36" s="18">
        <f t="shared" si="5"/>
        <v>0.1897157889307268</v>
      </c>
      <c r="D36" s="18">
        <f>INDEX(MAC!$H$3:$H$16,MATCH($A36,MAC!$A$3:$A$16,0))</f>
        <v>124.47726788956365</v>
      </c>
      <c r="E36" s="18">
        <f t="shared" si="6"/>
        <v>0.23615303081609995</v>
      </c>
      <c r="F36" s="21"/>
      <c r="G36" s="55"/>
      <c r="H36" s="91" t="s">
        <v>88</v>
      </c>
      <c r="I36" s="91">
        <v>81963</v>
      </c>
      <c r="J36" s="82">
        <v>0</v>
      </c>
      <c r="K36" s="91"/>
      <c r="L36" s="91"/>
      <c r="M36" s="5">
        <f t="shared" si="7"/>
        <v>73.740595081269333</v>
      </c>
      <c r="N36" s="6">
        <f>100*J36*K36*(L36*0.00000001^3)^2*M36/INDEX('Reference-aQuartz'!$H$4:$H$17,MATCH($B$22,'Reference-aQuartz'!$A$4:$A$17,0))</f>
        <v>0</v>
      </c>
      <c r="O36" s="32">
        <f t="shared" si="8"/>
        <v>0</v>
      </c>
      <c r="P36" s="31">
        <f t="shared" si="9"/>
        <v>0</v>
      </c>
      <c r="Q36" s="69"/>
    </row>
    <row r="37" spans="1:22" x14ac:dyDescent="0.25">
      <c r="A37" s="1" t="s">
        <v>60</v>
      </c>
      <c r="B37" s="12">
        <f>0.65*'LA-Ref 0.4'!B16+0.35*B16</f>
        <v>0.26</v>
      </c>
      <c r="C37" s="18">
        <f t="shared" si="5"/>
        <v>0.25961107958941565</v>
      </c>
      <c r="D37" s="18">
        <f>INDEX(MAC!$H$3:$H$16,MATCH($A37,MAC!$A$3:$A$16,0))</f>
        <v>39.431437267071992</v>
      </c>
      <c r="E37" s="18">
        <f t="shared" si="6"/>
        <v>0.10236837998666877</v>
      </c>
      <c r="F37" s="21"/>
      <c r="G37" s="55"/>
      <c r="H37" s="91" t="s">
        <v>89</v>
      </c>
      <c r="I37" s="91">
        <v>59327</v>
      </c>
      <c r="J37" s="65">
        <v>2.3220000000000001E-5</v>
      </c>
      <c r="K37" s="91">
        <v>2.16</v>
      </c>
      <c r="L37" s="91">
        <v>437.9425</v>
      </c>
      <c r="M37" s="5">
        <f t="shared" si="7"/>
        <v>73.740595081269333</v>
      </c>
      <c r="N37" s="6">
        <f>100*J37*K37*(L37*0.00000001^3)^2*M37/INDEX('Reference-aQuartz'!$H$4:$H$17,MATCH($B$22,'Reference-aQuartz'!$A$4:$A$17,0))</f>
        <v>0.94314418097417041</v>
      </c>
      <c r="O37" s="32">
        <f t="shared" si="8"/>
        <v>1.2072245516469382</v>
      </c>
      <c r="P37" s="31">
        <f t="shared" si="9"/>
        <v>1.2072245516469382</v>
      </c>
      <c r="Q37" s="69"/>
    </row>
    <row r="38" spans="1:22" x14ac:dyDescent="0.25">
      <c r="A38" s="19" t="s">
        <v>23</v>
      </c>
      <c r="B38" s="12">
        <f>0.65*'LA-Ref 0.4'!B17+0.35*B17</f>
        <v>3.5000000000000003E-2</v>
      </c>
      <c r="C38" s="18">
        <f t="shared" si="5"/>
        <v>3.4947645329344419E-2</v>
      </c>
      <c r="D38" s="18">
        <f>INDEX(MAC!$H$3:$H$16,MATCH($A38,MAC!$A$3:$A$16,0))</f>
        <v>197.69998688868492</v>
      </c>
      <c r="E38" s="18">
        <f t="shared" si="6"/>
        <v>6.9091490234018019E-2</v>
      </c>
      <c r="F38" s="21"/>
      <c r="G38" s="55"/>
      <c r="H38" s="91" t="s">
        <v>90</v>
      </c>
      <c r="I38" s="91">
        <v>2105252</v>
      </c>
      <c r="J38" s="65">
        <v>9.4E-7</v>
      </c>
      <c r="K38" s="91">
        <v>1.82</v>
      </c>
      <c r="L38" s="91">
        <v>1414.5170000000001</v>
      </c>
      <c r="M38" s="5">
        <f t="shared" si="7"/>
        <v>73.740595081269333</v>
      </c>
      <c r="N38" s="6">
        <f>100*J38*K38*(L38*0.00000001^3)^2*M38/INDEX('Reference-aQuartz'!$H$4:$H$17,MATCH($B$22,'Reference-aQuartz'!$A$4:$A$17,0))</f>
        <v>0.33561666747372676</v>
      </c>
      <c r="O38" s="32">
        <f t="shared" si="8"/>
        <v>0.42958933436637026</v>
      </c>
      <c r="P38" s="31">
        <f t="shared" si="9"/>
        <v>0.42958933436637026</v>
      </c>
      <c r="Q38" s="69"/>
    </row>
    <row r="39" spans="1:22" x14ac:dyDescent="0.25">
      <c r="A39" s="1" t="s">
        <v>66</v>
      </c>
      <c r="B39" s="12">
        <f>0.65*'LA-Ref 0.4'!B18+0.35*B18</f>
        <v>3.21</v>
      </c>
      <c r="C39" s="18">
        <f>B39</f>
        <v>3.21</v>
      </c>
      <c r="D39" s="18">
        <f>INDEX(MAC!$H$3:$H$16,MATCH($A39,MAC!$A$3:$A$16,0))</f>
        <v>9.592279079279237</v>
      </c>
      <c r="E39" s="18">
        <f t="shared" si="6"/>
        <v>0.30791215844486347</v>
      </c>
      <c r="F39" s="21"/>
      <c r="G39" s="55"/>
      <c r="H39" s="21"/>
      <c r="I39" s="21"/>
      <c r="J39" s="21"/>
      <c r="K39" s="21"/>
      <c r="L39" s="21"/>
      <c r="M39" s="5">
        <f t="shared" si="7"/>
        <v>73.740595081269333</v>
      </c>
      <c r="N39" s="6">
        <f>100*J39*K39*(L39*0.00000001^3)^2*M39/INDEX('Reference-aQuartz'!$H$4:$H$17,MATCH($B$22,'Reference-aQuartz'!$A$4:$A$17,0))</f>
        <v>0</v>
      </c>
      <c r="O39" s="32">
        <f t="shared" si="8"/>
        <v>0</v>
      </c>
      <c r="P39" s="31">
        <f t="shared" si="9"/>
        <v>0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107" t="s">
        <v>7</v>
      </c>
      <c r="I40" s="108"/>
      <c r="J40" s="108"/>
      <c r="K40" s="108"/>
      <c r="L40" s="108"/>
      <c r="M40" s="109"/>
      <c r="N40" s="6">
        <f>SUM(N27:N39)</f>
        <v>29.394030235860065</v>
      </c>
      <c r="O40" s="31">
        <f>SUM(O27:O39)</f>
        <v>37.624358701900888</v>
      </c>
      <c r="P40" s="31">
        <f>SUM(P27:P39)</f>
        <v>37.624358701900888</v>
      </c>
    </row>
    <row r="41" spans="1:22" x14ac:dyDescent="0.25">
      <c r="A41" s="91" t="s">
        <v>7</v>
      </c>
      <c r="B41" s="40">
        <f>SUM(B27:B38)</f>
        <v>96.934999999999988</v>
      </c>
      <c r="C41" s="40">
        <f>SUM(C27:C39)</f>
        <v>100</v>
      </c>
      <c r="D41" s="91" t="s">
        <v>29</v>
      </c>
      <c r="E41" s="56">
        <f>SUM(E27:E39)</f>
        <v>98.428726733051704</v>
      </c>
      <c r="F41" s="41">
        <f>E41*(1-C23)+D40*C23</f>
        <v>73.740595081269333</v>
      </c>
      <c r="H41" s="107" t="s">
        <v>28</v>
      </c>
      <c r="I41" s="108"/>
      <c r="J41" s="108"/>
      <c r="K41" s="108"/>
      <c r="L41" s="108"/>
      <c r="M41" s="109"/>
      <c r="N41" s="6">
        <f>100-N40</f>
        <v>70.605969764139928</v>
      </c>
      <c r="O41" s="31">
        <f>100-O40</f>
        <v>62.375641298099112</v>
      </c>
      <c r="P41" s="31">
        <f>100-P40</f>
        <v>62.375641298099112</v>
      </c>
    </row>
    <row r="44" spans="1:22" x14ac:dyDescent="0.25">
      <c r="A44" s="42" t="s">
        <v>32</v>
      </c>
      <c r="B44" s="43"/>
      <c r="C44" s="47" t="s">
        <v>85</v>
      </c>
      <c r="D44" s="48"/>
      <c r="E44" s="48" t="s">
        <v>77</v>
      </c>
      <c r="F44" s="49"/>
    </row>
    <row r="45" spans="1:22" x14ac:dyDescent="0.25">
      <c r="A45" s="44" t="s">
        <v>78</v>
      </c>
      <c r="B45" s="50"/>
      <c r="C45" s="51"/>
      <c r="D45" s="52"/>
      <c r="E45" s="52"/>
      <c r="F45" s="53"/>
    </row>
    <row r="46" spans="1:22" x14ac:dyDescent="0.25">
      <c r="H46" s="46" t="s">
        <v>6</v>
      </c>
      <c r="I46" s="87"/>
      <c r="J46" s="33"/>
    </row>
    <row r="47" spans="1:22" x14ac:dyDescent="0.25">
      <c r="A47" s="91" t="s">
        <v>8</v>
      </c>
      <c r="B47" s="91" t="s">
        <v>30</v>
      </c>
      <c r="C47" s="91" t="s">
        <v>31</v>
      </c>
      <c r="D47" s="91" t="s">
        <v>68</v>
      </c>
      <c r="E47" s="91" t="s">
        <v>69</v>
      </c>
      <c r="F47" s="91" t="s">
        <v>74</v>
      </c>
      <c r="G47" s="54"/>
      <c r="H47" s="91" t="s">
        <v>9</v>
      </c>
      <c r="I47" s="91" t="s">
        <v>86</v>
      </c>
      <c r="J47" s="91" t="s">
        <v>2</v>
      </c>
      <c r="K47" s="91" t="s">
        <v>3</v>
      </c>
      <c r="L47" s="91" t="s">
        <v>4</v>
      </c>
      <c r="M47" s="91" t="s">
        <v>5</v>
      </c>
      <c r="N47" s="5" t="s">
        <v>15</v>
      </c>
      <c r="O47" s="5" t="s">
        <v>15</v>
      </c>
      <c r="P47" s="5" t="s">
        <v>15</v>
      </c>
      <c r="Q47" s="91" t="s">
        <v>96</v>
      </c>
      <c r="R47" s="92"/>
      <c r="S47" s="96" t="s">
        <v>122</v>
      </c>
      <c r="T47" s="96" t="s">
        <v>123</v>
      </c>
      <c r="U47" s="91" t="s">
        <v>82</v>
      </c>
      <c r="V47" s="35" t="s">
        <v>83</v>
      </c>
    </row>
    <row r="48" spans="1:22" x14ac:dyDescent="0.25">
      <c r="A48" s="91" t="s">
        <v>11</v>
      </c>
      <c r="B48" s="91" t="s">
        <v>93</v>
      </c>
      <c r="C48" s="91" t="s">
        <v>93</v>
      </c>
      <c r="D48" s="91" t="s">
        <v>13</v>
      </c>
      <c r="E48" s="91" t="s">
        <v>13</v>
      </c>
      <c r="F48" s="91" t="s">
        <v>13</v>
      </c>
      <c r="G48" s="54"/>
      <c r="H48" s="91" t="s">
        <v>11</v>
      </c>
      <c r="I48" s="91" t="s">
        <v>11</v>
      </c>
      <c r="J48" s="91" t="s">
        <v>11</v>
      </c>
      <c r="K48" s="91" t="s">
        <v>16</v>
      </c>
      <c r="L48" s="91" t="s">
        <v>19</v>
      </c>
      <c r="M48" s="91" t="s">
        <v>13</v>
      </c>
      <c r="N48" s="5" t="s">
        <v>75</v>
      </c>
      <c r="O48" s="91" t="s">
        <v>113</v>
      </c>
      <c r="P48" s="91" t="s">
        <v>76</v>
      </c>
      <c r="Q48" s="91" t="s">
        <v>76</v>
      </c>
      <c r="R48" s="92"/>
      <c r="S48" s="91" t="s">
        <v>76</v>
      </c>
      <c r="T48" s="91" t="s">
        <v>76</v>
      </c>
      <c r="U48" s="91" t="s">
        <v>11</v>
      </c>
      <c r="V48" s="35" t="s">
        <v>11</v>
      </c>
    </row>
    <row r="49" spans="1:22" x14ac:dyDescent="0.25">
      <c r="A49" s="1" t="s">
        <v>53</v>
      </c>
      <c r="B49" s="12">
        <f>0.65*'LA-Ref 0.4'!B6+0.35*B6</f>
        <v>19.2</v>
      </c>
      <c r="C49" s="18">
        <f>B49*(100-B$39)/B$41</f>
        <v>19.171279723526077</v>
      </c>
      <c r="D49" s="18">
        <f>INDEX(MAC!$H$3:$H$16,MATCH($A49,MAC!$A$3:$A$16,0))</f>
        <v>35.900659077291785</v>
      </c>
      <c r="E49" s="18">
        <f>C49*D49/100</f>
        <v>6.8826157742970633</v>
      </c>
      <c r="F49" s="21"/>
      <c r="G49" s="55"/>
      <c r="H49" s="91" t="s">
        <v>34</v>
      </c>
      <c r="I49" s="91"/>
      <c r="J49" s="65"/>
      <c r="K49" s="91">
        <f>'LA-Ref 0.4'!K6</f>
        <v>3.15</v>
      </c>
      <c r="L49" s="91">
        <f>'LA-Ref 0.4'!L6</f>
        <v>2166.0790000000002</v>
      </c>
      <c r="M49" s="5">
        <f>$F$63</f>
        <v>98.428726733051704</v>
      </c>
      <c r="N49" s="6" t="e">
        <f>100*J49*K49*(L49*0.00000001^3)^2*M49/INDEX('Reference-aQuartz'!$H$4:$H$17,MATCH($B$44,'Reference-aQuartz'!$A$4:$A$17,0))</f>
        <v>#N/A</v>
      </c>
      <c r="O49" s="32" t="e">
        <f>P49</f>
        <v>#N/A</v>
      </c>
      <c r="P49" s="31" t="e">
        <f t="shared" ref="P49:P61" si="11">N49*(1+$E$45)</f>
        <v>#N/A</v>
      </c>
      <c r="Q49" s="69"/>
      <c r="R49" s="110" t="s">
        <v>79</v>
      </c>
      <c r="S49" s="100">
        <f>('LA-Ref 0.4'!P6+'LA-Ref 0.4'!P7)</f>
        <v>65.176686588064143</v>
      </c>
      <c r="T49" s="100" t="e">
        <f>P49+P50</f>
        <v>#N/A</v>
      </c>
      <c r="U49" s="102" t="e">
        <f>(S49-T49)/S49</f>
        <v>#N/A</v>
      </c>
      <c r="V49" s="29" t="e">
        <f>(U49*S49+U51*S51+U52*S52+U53*S53)/S54</f>
        <v>#N/A</v>
      </c>
    </row>
    <row r="50" spans="1:22" x14ac:dyDescent="0.25">
      <c r="A50" s="1" t="s">
        <v>54</v>
      </c>
      <c r="B50" s="12">
        <f>0.65*'LA-Ref 0.4'!B7+0.35*B7</f>
        <v>5.2</v>
      </c>
      <c r="C50" s="18">
        <f t="shared" ref="C50:C60" si="12">B50*(100-B$39)/B$41</f>
        <v>5.1922215917883126</v>
      </c>
      <c r="D50" s="18">
        <f>INDEX(MAC!$H$3:$H$16,MATCH($A50,MAC!$A$3:$A$16,0))</f>
        <v>31.664851266660783</v>
      </c>
      <c r="E50" s="18">
        <f t="shared" ref="E50:E61" si="13">C50*D50/100</f>
        <v>1.6441092444752161</v>
      </c>
      <c r="F50" s="21"/>
      <c r="G50" s="55"/>
      <c r="H50" s="91" t="s">
        <v>35</v>
      </c>
      <c r="I50" s="91">
        <v>94742</v>
      </c>
      <c r="J50" s="91"/>
      <c r="K50" s="91">
        <f>'LA-Ref 0.4'!K7</f>
        <v>3.16</v>
      </c>
      <c r="L50" s="91">
        <f>'LA-Ref 0.4'!L7</f>
        <v>4316.1279999999997</v>
      </c>
      <c r="M50" s="5">
        <f t="shared" ref="M50:M61" si="14">$F$63</f>
        <v>98.428726733051704</v>
      </c>
      <c r="N50" s="6" t="e">
        <f>100*J50*K50*(L50*0.00000001^3)^2*M50/INDEX('Reference-aQuartz'!$H$4:$H$17,MATCH($B$44,'Reference-aQuartz'!$A$4:$A$17,0))</f>
        <v>#N/A</v>
      </c>
      <c r="O50" s="32" t="e">
        <f t="shared" ref="O50:O61" si="15">P50</f>
        <v>#N/A</v>
      </c>
      <c r="P50" s="31" t="e">
        <f t="shared" si="11"/>
        <v>#N/A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0.4'!B8+0.35*B8</f>
        <v>3.67</v>
      </c>
      <c r="C51" s="18">
        <f t="shared" si="12"/>
        <v>3.6645102388198283</v>
      </c>
      <c r="D51" s="18">
        <f>INDEX(MAC!$H$3:$H$16,MATCH($A51,MAC!$A$3:$A$16,0))</f>
        <v>214.68463619455559</v>
      </c>
      <c r="E51" s="18">
        <f t="shared" si="13"/>
        <v>7.8671404745225892</v>
      </c>
      <c r="F51" s="21"/>
      <c r="G51" s="55"/>
      <c r="H51" s="91" t="s">
        <v>36</v>
      </c>
      <c r="I51" s="91">
        <v>81096</v>
      </c>
      <c r="J51" s="65"/>
      <c r="K51" s="91">
        <f>'LA-Ref 0.4'!K8</f>
        <v>3.29</v>
      </c>
      <c r="L51" s="91">
        <f>'LA-Ref 0.4'!L8</f>
        <v>347.22930000000002</v>
      </c>
      <c r="M51" s="5">
        <f t="shared" si="14"/>
        <v>98.428726733051704</v>
      </c>
      <c r="N51" s="6" t="e">
        <f>100*J51*K51*(L51*0.00000001^3)^2*M51/INDEX('Reference-aQuartz'!$H$4:$H$17,MATCH($B$44,'Reference-aQuartz'!$A$4:$A$17,0))</f>
        <v>#N/A</v>
      </c>
      <c r="O51" s="32" t="e">
        <f t="shared" si="15"/>
        <v>#N/A</v>
      </c>
      <c r="P51" s="31" t="e">
        <f t="shared" si="11"/>
        <v>#N/A</v>
      </c>
      <c r="Q51" s="69"/>
      <c r="R51" s="92" t="s">
        <v>80</v>
      </c>
      <c r="S51" s="69">
        <f>'LA-Ref 0.4'!P8</f>
        <v>10.194794468122005</v>
      </c>
      <c r="T51" s="69" t="e">
        <f>P51</f>
        <v>#N/A</v>
      </c>
      <c r="U51" s="34" t="e">
        <f>(S51-T51)/S51</f>
        <v>#N/A</v>
      </c>
    </row>
    <row r="52" spans="1:22" x14ac:dyDescent="0.25">
      <c r="A52" s="1" t="s">
        <v>0</v>
      </c>
      <c r="B52" s="12">
        <f>0.65*'LA-Ref 0.4'!B9+0.35*B9</f>
        <v>1</v>
      </c>
      <c r="C52" s="18">
        <f t="shared" si="12"/>
        <v>0.99850415226698319</v>
      </c>
      <c r="D52" s="18">
        <f>INDEX(MAC!$H$3:$H$16,MATCH($A52,MAC!$A$3:$A$16,0))</f>
        <v>28.686693628423974</v>
      </c>
      <c r="E52" s="18">
        <f t="shared" si="13"/>
        <v>0.28643782702792148</v>
      </c>
      <c r="F52" s="21"/>
      <c r="G52" s="55"/>
      <c r="H52" s="91" t="s">
        <v>37</v>
      </c>
      <c r="I52" s="91">
        <v>1841</v>
      </c>
      <c r="J52" s="91"/>
      <c r="K52" s="91">
        <f>'LA-Ref 0.4'!K9</f>
        <v>3.04</v>
      </c>
      <c r="L52" s="91">
        <f>'LA-Ref 0.4'!L9</f>
        <v>3541.5859999999998</v>
      </c>
      <c r="M52" s="5">
        <f t="shared" si="14"/>
        <v>98.428726733051704</v>
      </c>
      <c r="N52" s="6" t="e">
        <f>100*J52*K52*(L52*0.00000001^3)^2*M52/INDEX('Reference-aQuartz'!$H$4:$H$17,MATCH($B$44,'Reference-aQuartz'!$A$4:$A$17,0))</f>
        <v>#N/A</v>
      </c>
      <c r="O52" s="32" t="e">
        <f t="shared" si="15"/>
        <v>#N/A</v>
      </c>
      <c r="P52" s="31" t="e">
        <f t="shared" si="11"/>
        <v>#N/A</v>
      </c>
      <c r="Q52" s="69"/>
      <c r="R52" s="92" t="s">
        <v>37</v>
      </c>
      <c r="S52" s="69">
        <f>'LA-Ref 0.4'!P9</f>
        <v>3.6316399310689436</v>
      </c>
      <c r="T52" s="69" t="e">
        <f>P52</f>
        <v>#N/A</v>
      </c>
      <c r="U52" s="34" t="e">
        <f t="shared" ref="U52:U53" si="16">(S52-T52)/S52</f>
        <v>#N/A</v>
      </c>
    </row>
    <row r="53" spans="1:22" x14ac:dyDescent="0.25">
      <c r="A53" s="1" t="s">
        <v>1</v>
      </c>
      <c r="B53" s="12">
        <f>0.65*'LA-Ref 0.4'!B10+0.35*B10</f>
        <v>63.4</v>
      </c>
      <c r="C53" s="18">
        <f t="shared" si="12"/>
        <v>63.305163253726732</v>
      </c>
      <c r="D53" s="18">
        <f>INDEX(MAC!$H$3:$H$16,MATCH($A53,MAC!$A$3:$A$16,0))</f>
        <v>124.77929454143408</v>
      </c>
      <c r="E53" s="18">
        <f t="shared" si="13"/>
        <v>78.991736116303372</v>
      </c>
      <c r="F53" s="21"/>
      <c r="G53" s="55"/>
      <c r="H53" s="91" t="s">
        <v>38</v>
      </c>
      <c r="I53" s="91">
        <v>98836</v>
      </c>
      <c r="J53" s="65"/>
      <c r="K53" s="91">
        <f>'LA-Ref 0.4'!K10</f>
        <v>3.75</v>
      </c>
      <c r="L53" s="91">
        <f>'LA-Ref 0.4'!L10</f>
        <v>430.91660000000002</v>
      </c>
      <c r="M53" s="5">
        <f t="shared" si="14"/>
        <v>98.428726733051704</v>
      </c>
      <c r="N53" s="6" t="e">
        <f>100*J53*K53*(L53*0.00000001^3)^2*M53/INDEX('Reference-aQuartz'!$H$4:$H$17,MATCH($B$44,'Reference-aQuartz'!$A$4:$A$17,0))</f>
        <v>#N/A</v>
      </c>
      <c r="O53" s="32" t="e">
        <f t="shared" si="15"/>
        <v>#N/A</v>
      </c>
      <c r="P53" s="31" t="e">
        <f t="shared" si="11"/>
        <v>#N/A</v>
      </c>
      <c r="Q53" s="69"/>
      <c r="R53" s="92" t="s">
        <v>81</v>
      </c>
      <c r="S53" s="69">
        <f>'LA-Ref 0.4'!P10</f>
        <v>10.761354071127171</v>
      </c>
      <c r="T53" s="69" t="e">
        <f>P53</f>
        <v>#N/A</v>
      </c>
      <c r="U53" s="34" t="e">
        <f t="shared" si="16"/>
        <v>#N/A</v>
      </c>
    </row>
    <row r="54" spans="1:22" x14ac:dyDescent="0.25">
      <c r="A54" s="1" t="s">
        <v>56</v>
      </c>
      <c r="B54" s="12">
        <f>0.65*'LA-Ref 0.4'!B11+0.35*B11</f>
        <v>0.38</v>
      </c>
      <c r="C54" s="18">
        <f t="shared" si="12"/>
        <v>0.3794315778614536</v>
      </c>
      <c r="D54" s="18">
        <f>INDEX(MAC!$H$3:$H$16,MATCH($A54,MAC!$A$3:$A$16,0))</f>
        <v>122.32505440840811</v>
      </c>
      <c r="E54" s="18">
        <f t="shared" si="13"/>
        <v>0.46413988406170448</v>
      </c>
      <c r="F54" s="21"/>
      <c r="G54" s="55"/>
      <c r="H54" s="91" t="s">
        <v>40</v>
      </c>
      <c r="I54" s="91">
        <v>202220</v>
      </c>
      <c r="J54" s="91"/>
      <c r="K54" s="91"/>
      <c r="L54" s="91"/>
      <c r="M54" s="5">
        <f t="shared" si="14"/>
        <v>98.428726733051704</v>
      </c>
      <c r="N54" s="6" t="e">
        <f>100*J54*K54*(L54*0.00000001^3)^2*M54/INDEX('Reference-aQuartz'!$H$4:$H$17,MATCH($B$44,'Reference-aQuartz'!$A$4:$A$17,0))</f>
        <v>#N/A</v>
      </c>
      <c r="O54" s="32" t="e">
        <f t="shared" si="15"/>
        <v>#N/A</v>
      </c>
      <c r="P54" s="31" t="e">
        <f t="shared" si="11"/>
        <v>#N/A</v>
      </c>
      <c r="Q54" s="69"/>
      <c r="R54" s="92" t="s">
        <v>84</v>
      </c>
      <c r="S54" s="69">
        <f>SUM(S49:S53)</f>
        <v>89.764475058382274</v>
      </c>
      <c r="T54" s="69" t="e">
        <f>SUM(T49:T53)</f>
        <v>#N/A</v>
      </c>
    </row>
    <row r="55" spans="1:22" x14ac:dyDescent="0.25">
      <c r="A55" s="1" t="s">
        <v>57</v>
      </c>
      <c r="B55" s="12">
        <f>0.65*'LA-Ref 0.4'!B12+0.35*B12</f>
        <v>3.1400000000000006</v>
      </c>
      <c r="C55" s="18">
        <f t="shared" si="12"/>
        <v>3.135303038118328</v>
      </c>
      <c r="D55" s="18">
        <f>INDEX(MAC!$H$3:$H$16,MATCH($A55,MAC!$A$3:$A$16,0))</f>
        <v>44.261072668681777</v>
      </c>
      <c r="E55" s="18">
        <f t="shared" si="13"/>
        <v>1.3877187560849407</v>
      </c>
      <c r="F55" s="21"/>
      <c r="G55" s="55"/>
      <c r="H55" s="91" t="s">
        <v>25</v>
      </c>
      <c r="I55" s="91">
        <v>73446</v>
      </c>
      <c r="J55" s="65"/>
      <c r="K55" s="91"/>
      <c r="L55" s="91"/>
      <c r="M55" s="5">
        <f t="shared" si="14"/>
        <v>98.428726733051704</v>
      </c>
      <c r="N55" s="6" t="e">
        <f>100*J55*K55*(L55*0.00000001^3)^2*M55/INDEX('Reference-aQuartz'!$H$4:$H$17,MATCH($B$44,'Reference-aQuartz'!$A$4:$A$17,0))</f>
        <v>#N/A</v>
      </c>
      <c r="O55" s="32" t="e">
        <f t="shared" si="15"/>
        <v>#N/A</v>
      </c>
      <c r="P55" s="31" t="e">
        <f t="shared" si="11"/>
        <v>#N/A</v>
      </c>
      <c r="Q55" s="69"/>
    </row>
    <row r="56" spans="1:22" x14ac:dyDescent="0.25">
      <c r="A56" s="1" t="s">
        <v>14</v>
      </c>
      <c r="B56" s="12">
        <f>0.65*'LA-Ref 0.4'!B13+0.35*B13</f>
        <v>0.13</v>
      </c>
      <c r="C56" s="18">
        <f t="shared" si="12"/>
        <v>0.12980553979470782</v>
      </c>
      <c r="D56" s="18">
        <f>INDEX(MAC!$H$3:$H$16,MATCH($A56,MAC!$A$3:$A$16,0))</f>
        <v>97.328178229861322</v>
      </c>
      <c r="E56" s="18">
        <f t="shared" si="13"/>
        <v>0.12633736712362681</v>
      </c>
      <c r="F56" s="21"/>
      <c r="G56" s="55"/>
      <c r="H56" s="91" t="s">
        <v>21</v>
      </c>
      <c r="I56" s="91">
        <v>62405</v>
      </c>
      <c r="J56" s="65"/>
      <c r="K56" s="91"/>
      <c r="L56" s="91"/>
      <c r="M56" s="5">
        <f t="shared" si="14"/>
        <v>98.428726733051704</v>
      </c>
      <c r="N56" s="6" t="e">
        <f>100*J56*K56*(L56*0.00000001^3)^2*M56/INDEX('Reference-aQuartz'!$H$4:$H$17,MATCH($B$44,'Reference-aQuartz'!$A$4:$A$17,0))</f>
        <v>#N/A</v>
      </c>
      <c r="O56" s="32" t="e">
        <f t="shared" si="15"/>
        <v>#N/A</v>
      </c>
      <c r="P56" s="31" t="e">
        <f t="shared" si="11"/>
        <v>#N/A</v>
      </c>
      <c r="Q56" s="69"/>
    </row>
    <row r="57" spans="1:22" x14ac:dyDescent="0.25">
      <c r="A57" s="1" t="s">
        <v>58</v>
      </c>
      <c r="B57" s="12">
        <f>0.65*'LA-Ref 0.4'!B14+0.35*B14</f>
        <v>0.33</v>
      </c>
      <c r="C57" s="18">
        <f t="shared" si="12"/>
        <v>0.32950637024810447</v>
      </c>
      <c r="D57" s="18">
        <f>INDEX(MAC!$H$3:$H$16,MATCH($A57,MAC!$A$3:$A$16,0))</f>
        <v>19.10926020222594</v>
      </c>
      <c r="E57" s="18">
        <f t="shared" si="13"/>
        <v>6.2966229673620283E-2</v>
      </c>
      <c r="F57" s="21"/>
      <c r="G57" s="55"/>
      <c r="H57" s="91" t="s">
        <v>87</v>
      </c>
      <c r="I57" s="91">
        <v>155395</v>
      </c>
      <c r="J57" s="65"/>
      <c r="K57" s="91"/>
      <c r="L57" s="91"/>
      <c r="M57" s="5">
        <f t="shared" si="14"/>
        <v>98.428726733051704</v>
      </c>
      <c r="N57" s="6" t="e">
        <f>100*J57*K57*(L57*0.00000001^3)^2*M57/INDEX('Reference-aQuartz'!$H$4:$H$17,MATCH($B$44,'Reference-aQuartz'!$A$4:$A$17,0))</f>
        <v>#N/A</v>
      </c>
      <c r="O57" s="32" t="e">
        <f t="shared" si="15"/>
        <v>#N/A</v>
      </c>
      <c r="P57" s="31" t="e">
        <f t="shared" si="11"/>
        <v>#N/A</v>
      </c>
      <c r="Q57" s="69"/>
    </row>
    <row r="58" spans="1:22" x14ac:dyDescent="0.25">
      <c r="A58" s="1" t="s">
        <v>59</v>
      </c>
      <c r="B58" s="12">
        <f>0.65*'LA-Ref 0.4'!B15+0.35*B15</f>
        <v>0.19</v>
      </c>
      <c r="C58" s="18">
        <f t="shared" si="12"/>
        <v>0.1897157889307268</v>
      </c>
      <c r="D58" s="18">
        <f>INDEX(MAC!$H$3:$H$16,MATCH($A58,MAC!$A$3:$A$16,0))</f>
        <v>124.47726788956365</v>
      </c>
      <c r="E58" s="18">
        <f t="shared" si="13"/>
        <v>0.23615303081609995</v>
      </c>
      <c r="F58" s="21"/>
      <c r="G58" s="55"/>
      <c r="H58" s="91" t="s">
        <v>88</v>
      </c>
      <c r="I58" s="91">
        <v>81963</v>
      </c>
      <c r="J58" s="82"/>
      <c r="K58" s="91"/>
      <c r="L58" s="91"/>
      <c r="M58" s="5">
        <f t="shared" si="14"/>
        <v>98.428726733051704</v>
      </c>
      <c r="N58" s="6" t="e">
        <f>100*J58*K58*(L58*0.00000001^3)^2*M58/INDEX('Reference-aQuartz'!$H$4:$H$17,MATCH($B$44,'Reference-aQuartz'!$A$4:$A$17,0))</f>
        <v>#N/A</v>
      </c>
      <c r="O58" s="32" t="e">
        <f t="shared" si="15"/>
        <v>#N/A</v>
      </c>
      <c r="P58" s="31" t="e">
        <f t="shared" si="11"/>
        <v>#N/A</v>
      </c>
      <c r="Q58" s="69"/>
    </row>
    <row r="59" spans="1:22" x14ac:dyDescent="0.25">
      <c r="A59" s="1" t="s">
        <v>60</v>
      </c>
      <c r="B59" s="12">
        <f>0.65*'LA-Ref 0.4'!B16+0.35*B16</f>
        <v>0.26</v>
      </c>
      <c r="C59" s="18">
        <f t="shared" si="12"/>
        <v>0.25961107958941565</v>
      </c>
      <c r="D59" s="18">
        <f>INDEX(MAC!$H$3:$H$16,MATCH($A59,MAC!$A$3:$A$16,0))</f>
        <v>39.431437267071992</v>
      </c>
      <c r="E59" s="18">
        <f t="shared" si="13"/>
        <v>0.10236837998666877</v>
      </c>
      <c r="F59" s="21"/>
      <c r="G59" s="55"/>
      <c r="H59" s="91" t="s">
        <v>89</v>
      </c>
      <c r="I59" s="91">
        <v>59327</v>
      </c>
      <c r="J59" s="65"/>
      <c r="K59" s="91"/>
      <c r="L59" s="91"/>
      <c r="M59" s="5">
        <f t="shared" si="14"/>
        <v>98.428726733051704</v>
      </c>
      <c r="N59" s="6" t="e">
        <f>100*J59*K59*(L59*0.00000001^3)^2*M59/INDEX('Reference-aQuartz'!$H$4:$H$17,MATCH($B$44,'Reference-aQuartz'!$A$4:$A$17,0))</f>
        <v>#N/A</v>
      </c>
      <c r="O59" s="32" t="e">
        <f t="shared" si="15"/>
        <v>#N/A</v>
      </c>
      <c r="P59" s="31" t="e">
        <f t="shared" si="11"/>
        <v>#N/A</v>
      </c>
      <c r="Q59" s="69"/>
    </row>
    <row r="60" spans="1:22" x14ac:dyDescent="0.25">
      <c r="A60" s="19" t="s">
        <v>23</v>
      </c>
      <c r="B60" s="12">
        <f>0.65*'LA-Ref 0.4'!B17+0.35*B17</f>
        <v>3.5000000000000003E-2</v>
      </c>
      <c r="C60" s="18">
        <f t="shared" si="12"/>
        <v>3.4947645329344419E-2</v>
      </c>
      <c r="D60" s="18">
        <f>INDEX(MAC!$H$3:$H$16,MATCH($A60,MAC!$A$3:$A$16,0))</f>
        <v>197.69998688868492</v>
      </c>
      <c r="E60" s="18">
        <f t="shared" si="13"/>
        <v>6.9091490234018019E-2</v>
      </c>
      <c r="F60" s="21"/>
      <c r="G60" s="55"/>
      <c r="H60" s="91" t="s">
        <v>90</v>
      </c>
      <c r="I60" s="91">
        <v>2105252</v>
      </c>
      <c r="J60" s="65"/>
      <c r="K60" s="91"/>
      <c r="L60" s="91"/>
      <c r="M60" s="5">
        <f t="shared" si="14"/>
        <v>98.428726733051704</v>
      </c>
      <c r="N60" s="6" t="e">
        <f>100*J60*K60*(L60*0.00000001^3)^2*M60/INDEX('Reference-aQuartz'!$H$4:$H$17,MATCH($B$44,'Reference-aQuartz'!$A$4:$A$17,0))</f>
        <v>#N/A</v>
      </c>
      <c r="O60" s="32" t="e">
        <f t="shared" si="15"/>
        <v>#N/A</v>
      </c>
      <c r="P60" s="31" t="e">
        <f t="shared" si="11"/>
        <v>#N/A</v>
      </c>
      <c r="Q60" s="69"/>
    </row>
    <row r="61" spans="1:22" x14ac:dyDescent="0.25">
      <c r="A61" s="1" t="s">
        <v>66</v>
      </c>
      <c r="B61" s="12">
        <f>0.65*'LA-Ref 0.4'!B18+0.35*B18</f>
        <v>3.21</v>
      </c>
      <c r="C61" s="18">
        <f>B61</f>
        <v>3.21</v>
      </c>
      <c r="D61" s="18">
        <f>INDEX(MAC!$H$3:$H$16,MATCH($A61,MAC!$A$3:$A$16,0))</f>
        <v>9.592279079279237</v>
      </c>
      <c r="E61" s="18">
        <f t="shared" si="13"/>
        <v>0.30791215844486347</v>
      </c>
      <c r="F61" s="21"/>
      <c r="G61" s="55"/>
      <c r="H61" s="21"/>
      <c r="I61" s="21"/>
      <c r="J61" s="21"/>
      <c r="K61" s="21"/>
      <c r="L61" s="21"/>
      <c r="M61" s="5">
        <f t="shared" si="14"/>
        <v>98.428726733051704</v>
      </c>
      <c r="N61" s="6" t="e">
        <f>100*J61*K61*(L61*0.00000001^3)^2*M61/INDEX('Reference-aQuartz'!$H$4:$H$17,MATCH($B$44,'Reference-aQuartz'!$A$4:$A$17,0))</f>
        <v>#N/A</v>
      </c>
      <c r="O61" s="32" t="e">
        <f t="shared" si="15"/>
        <v>#N/A</v>
      </c>
      <c r="P61" s="31" t="e">
        <f t="shared" si="11"/>
        <v>#N/A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107" t="s">
        <v>7</v>
      </c>
      <c r="I62" s="108"/>
      <c r="J62" s="108"/>
      <c r="K62" s="108"/>
      <c r="L62" s="108"/>
      <c r="M62" s="109"/>
      <c r="N62" s="6" t="e">
        <f>SUM(N49:N61)</f>
        <v>#N/A</v>
      </c>
      <c r="O62" s="31" t="e">
        <f t="shared" ref="O62:P62" si="17">SUM(O49:O61)</f>
        <v>#N/A</v>
      </c>
      <c r="P62" s="31" t="e">
        <f t="shared" si="17"/>
        <v>#N/A</v>
      </c>
    </row>
    <row r="63" spans="1:22" x14ac:dyDescent="0.25">
      <c r="A63" s="91" t="s">
        <v>7</v>
      </c>
      <c r="B63" s="40">
        <f>SUM(B49:B60)</f>
        <v>96.934999999999988</v>
      </c>
      <c r="C63" s="40">
        <f>SUM(C49:C61)</f>
        <v>100</v>
      </c>
      <c r="D63" s="91" t="s">
        <v>29</v>
      </c>
      <c r="E63" s="56">
        <f>SUM(E49:E61)</f>
        <v>98.428726733051704</v>
      </c>
      <c r="F63" s="41">
        <f>E63*(1-C45)+D62*C45</f>
        <v>98.428726733051704</v>
      </c>
      <c r="H63" s="107" t="s">
        <v>28</v>
      </c>
      <c r="I63" s="108"/>
      <c r="J63" s="108"/>
      <c r="K63" s="108"/>
      <c r="L63" s="108"/>
      <c r="M63" s="109"/>
      <c r="N63" s="6" t="e">
        <f>100-N62</f>
        <v>#N/A</v>
      </c>
      <c r="O63" s="31" t="e">
        <f>100-O62</f>
        <v>#N/A</v>
      </c>
      <c r="P63" s="31" t="e">
        <f>100-P62</f>
        <v>#N/A</v>
      </c>
    </row>
  </sheetData>
  <mergeCells count="14">
    <mergeCell ref="H62:M62"/>
    <mergeCell ref="H63:M63"/>
    <mergeCell ref="H40:M40"/>
    <mergeCell ref="H41:M41"/>
    <mergeCell ref="R49:R50"/>
    <mergeCell ref="S49:S50"/>
    <mergeCell ref="T49:T50"/>
    <mergeCell ref="U49:U50"/>
    <mergeCell ref="H18:M18"/>
    <mergeCell ref="H19:M19"/>
    <mergeCell ref="R27:R28"/>
    <mergeCell ref="S27:S28"/>
    <mergeCell ref="T27:T28"/>
    <mergeCell ref="U27:U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5AE8A-EDC7-42B5-8088-6E6F2FF40A34}">
  <sheetPr>
    <tabColor theme="9"/>
  </sheetPr>
  <dimension ref="A1:AV63"/>
  <sheetViews>
    <sheetView zoomScaleNormal="100" workbookViewId="0">
      <selection activeCell="K44" sqref="K44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5.710937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42" t="s">
        <v>32</v>
      </c>
      <c r="B1" s="43">
        <v>44936</v>
      </c>
      <c r="H1" s="38" t="s">
        <v>20</v>
      </c>
      <c r="I1" s="38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>
        <v>7.85</v>
      </c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78" t="s">
        <v>8</v>
      </c>
      <c r="B4" s="78" t="s">
        <v>30</v>
      </c>
      <c r="C4" s="78" t="s">
        <v>31</v>
      </c>
      <c r="D4" s="78" t="s">
        <v>68</v>
      </c>
      <c r="E4" s="78" t="s">
        <v>69</v>
      </c>
      <c r="H4" s="78" t="s">
        <v>9</v>
      </c>
      <c r="I4" s="78" t="s">
        <v>86</v>
      </c>
      <c r="J4" s="78" t="s">
        <v>2</v>
      </c>
      <c r="K4" s="78" t="s">
        <v>3</v>
      </c>
      <c r="L4" s="78" t="s">
        <v>4</v>
      </c>
      <c r="M4" s="78" t="s">
        <v>5</v>
      </c>
      <c r="N4" s="5" t="s">
        <v>15</v>
      </c>
      <c r="O4" s="5" t="s">
        <v>111</v>
      </c>
      <c r="P4" s="5" t="s">
        <v>110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78" t="s">
        <v>11</v>
      </c>
      <c r="B5" s="78" t="s">
        <v>93</v>
      </c>
      <c r="C5" s="78" t="s">
        <v>93</v>
      </c>
      <c r="D5" s="78" t="s">
        <v>13</v>
      </c>
      <c r="E5" s="78" t="s">
        <v>13</v>
      </c>
      <c r="H5" s="78" t="s">
        <v>11</v>
      </c>
      <c r="I5" s="78" t="s">
        <v>11</v>
      </c>
      <c r="J5" s="78" t="s">
        <v>11</v>
      </c>
      <c r="K5" s="78" t="s">
        <v>16</v>
      </c>
      <c r="L5" s="78" t="s">
        <v>19</v>
      </c>
      <c r="M5" s="78" t="s">
        <v>13</v>
      </c>
      <c r="N5" s="5" t="s">
        <v>12</v>
      </c>
      <c r="O5" s="5"/>
      <c r="P5" s="5" t="s">
        <v>12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19.2</v>
      </c>
      <c r="C6" s="18">
        <f t="shared" ref="C6:C17" si="0">B6*(100-B$18)/B$19</f>
        <v>19.171279723526077</v>
      </c>
      <c r="D6" s="18">
        <f>INDEX(MAC!$H$3:$H$16,MATCH('LA-Ref 0.5'!$A6,MAC!$A$3:$A$16,0))</f>
        <v>35.900659077291785</v>
      </c>
      <c r="E6" s="18">
        <f>C6*D6/100</f>
        <v>6.8826157742970633</v>
      </c>
      <c r="F6" s="39"/>
      <c r="G6" s="39"/>
      <c r="H6" s="78" t="s">
        <v>34</v>
      </c>
      <c r="I6" s="78"/>
      <c r="J6" s="78">
        <f>0.00002217</f>
        <v>2.2169999999999999E-5</v>
      </c>
      <c r="K6" s="78">
        <v>3.15</v>
      </c>
      <c r="L6" s="78">
        <v>2166.0790000000002</v>
      </c>
      <c r="M6" s="5">
        <f t="shared" ref="M6:M17" si="1">$E$19</f>
        <v>98.428726733051704</v>
      </c>
      <c r="N6" s="6">
        <f>100*J6*K6*(L6*0.00000001^3)^2*M6/INDEX('Reference-aQuartz'!$H$4:$H$17,MATCH($B$1,'Reference-aQuartz'!$A$4:$A$17,0))</f>
        <v>42.970077038272549</v>
      </c>
      <c r="O6" s="80">
        <f>J6*K6*(L6*0.00000001^3)^2</f>
        <v>3.2766105913733748E-46</v>
      </c>
      <c r="P6" s="32">
        <f>100*O6/SUM($O$6:$O$17)</f>
        <v>48.01147945212206</v>
      </c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5.2</v>
      </c>
      <c r="C7" s="18">
        <f t="shared" si="0"/>
        <v>5.1922215917883126</v>
      </c>
      <c r="D7" s="18">
        <f>INDEX(MAC!$H$3:$H$16,MATCH('LA-Ref 0.5'!$A7,MAC!$A$3:$A$16,0))</f>
        <v>31.664851266660783</v>
      </c>
      <c r="E7" s="18">
        <f t="shared" ref="E7:E18" si="2">C7*D7/100</f>
        <v>1.6441092444752161</v>
      </c>
      <c r="F7" s="39"/>
      <c r="G7" s="39"/>
      <c r="H7" s="78" t="s">
        <v>35</v>
      </c>
      <c r="I7" s="78">
        <v>94742</v>
      </c>
      <c r="J7" s="78">
        <f>0.00000199</f>
        <v>1.99E-6</v>
      </c>
      <c r="K7" s="78">
        <v>3.16</v>
      </c>
      <c r="L7" s="78">
        <v>4316.1279999999997</v>
      </c>
      <c r="M7" s="5">
        <f t="shared" si="1"/>
        <v>98.428726733051704</v>
      </c>
      <c r="N7" s="6">
        <f>100*J7*K7*(L7*0.00000001^3)^2*M7/INDEX('Reference-aQuartz'!$H$4:$H$17,MATCH($B$1,'Reference-aQuartz'!$A$4:$A$17,0))</f>
        <v>15.362789929122584</v>
      </c>
      <c r="O7" s="80">
        <f t="shared" ref="O7:O17" si="3">J7*K7*(L7*0.00000001^3)^2</f>
        <v>1.1714635780143559E-46</v>
      </c>
      <c r="P7" s="32">
        <f t="shared" ref="P7:P17" si="4">100*O7/SUM($O$6:$O$17)</f>
        <v>17.165207135942076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3.67</v>
      </c>
      <c r="C8" s="18">
        <f t="shared" si="0"/>
        <v>3.6645102388198283</v>
      </c>
      <c r="D8" s="18">
        <f>INDEX(MAC!$H$3:$H$16,MATCH('LA-Ref 0.5'!$A8,MAC!$A$3:$A$16,0))</f>
        <v>214.68463619455559</v>
      </c>
      <c r="E8" s="18">
        <f t="shared" si="2"/>
        <v>7.8671404745225892</v>
      </c>
      <c r="F8" s="39"/>
      <c r="G8" s="39"/>
      <c r="H8" s="78" t="s">
        <v>36</v>
      </c>
      <c r="I8" s="78">
        <v>81096</v>
      </c>
      <c r="J8" s="78">
        <v>1.7540000000000001E-4</v>
      </c>
      <c r="K8" s="78">
        <v>3.29</v>
      </c>
      <c r="L8" s="78">
        <v>347.22930000000002</v>
      </c>
      <c r="M8" s="5">
        <f t="shared" si="1"/>
        <v>98.428726733051704</v>
      </c>
      <c r="N8" s="6">
        <f>100*J8*K8*(L8*0.00000001^3)^2*M8/INDEX('Reference-aQuartz'!$H$4:$H$17,MATCH($B$1,'Reference-aQuartz'!$A$4:$A$17,0))</f>
        <v>9.1242992026815184</v>
      </c>
      <c r="O8" s="80">
        <f t="shared" si="3"/>
        <v>6.9575801271516139E-47</v>
      </c>
      <c r="P8" s="32">
        <f t="shared" si="4"/>
        <v>10.194794468122005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1</v>
      </c>
      <c r="C9" s="18">
        <f t="shared" si="0"/>
        <v>0.99850415226698319</v>
      </c>
      <c r="D9" s="18">
        <f>INDEX(MAC!$H$3:$H$16,MATCH('LA-Ref 0.5'!$A9,MAC!$A$3:$A$16,0))</f>
        <v>28.686693628423974</v>
      </c>
      <c r="E9" s="18">
        <f t="shared" si="2"/>
        <v>0.28643782702792148</v>
      </c>
      <c r="F9" s="39"/>
      <c r="G9" s="39"/>
      <c r="H9" s="78" t="s">
        <v>37</v>
      </c>
      <c r="I9" s="78">
        <v>1841</v>
      </c>
      <c r="J9" s="78">
        <f>0.00000065</f>
        <v>6.5000000000000002E-7</v>
      </c>
      <c r="K9" s="78">
        <v>3.04</v>
      </c>
      <c r="L9" s="78">
        <v>3541.5859999999998</v>
      </c>
      <c r="M9" s="5">
        <f t="shared" si="1"/>
        <v>98.428726733051704</v>
      </c>
      <c r="N9" s="6">
        <f>100*J9*K9*(L9*0.00000001^3)^2*M9/INDEX('Reference-aQuartz'!$H$4:$H$17,MATCH($B$1,'Reference-aQuartz'!$A$4:$A$17,0))</f>
        <v>3.2503028316158669</v>
      </c>
      <c r="O9" s="80">
        <f t="shared" si="3"/>
        <v>2.4784634837302495E-47</v>
      </c>
      <c r="P9" s="32">
        <f t="shared" si="4"/>
        <v>3.6316399310689436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63.4</v>
      </c>
      <c r="C10" s="18">
        <f t="shared" si="0"/>
        <v>63.305163253726732</v>
      </c>
      <c r="D10" s="18">
        <f>INDEX(MAC!$H$3:$H$16,MATCH('LA-Ref 0.5'!$A10,MAC!$A$3:$A$16,0))</f>
        <v>124.77929454143408</v>
      </c>
      <c r="E10" s="18">
        <f t="shared" si="2"/>
        <v>78.991736116303372</v>
      </c>
      <c r="F10" s="39"/>
      <c r="G10" s="39"/>
      <c r="H10" s="78" t="s">
        <v>38</v>
      </c>
      <c r="I10" s="78">
        <v>98836</v>
      </c>
      <c r="J10" s="78">
        <f>0.00010547</f>
        <v>1.0547E-4</v>
      </c>
      <c r="K10" s="78">
        <v>3.75</v>
      </c>
      <c r="L10" s="78">
        <v>430.91660000000002</v>
      </c>
      <c r="M10" s="5">
        <f t="shared" si="1"/>
        <v>98.428726733051704</v>
      </c>
      <c r="N10" s="6">
        <f>100*J10*K10*(L10*0.00000001^3)^2*M10/INDEX('Reference-aQuartz'!$H$4:$H$17,MATCH($B$1,'Reference-aQuartz'!$A$4:$A$17,0))</f>
        <v>9.631367721829788</v>
      </c>
      <c r="O10" s="80">
        <f t="shared" si="3"/>
        <v>7.3442366553475945E-47</v>
      </c>
      <c r="P10" s="32">
        <f t="shared" si="4"/>
        <v>10.761354071127171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0.38</v>
      </c>
      <c r="C11" s="18">
        <f t="shared" si="0"/>
        <v>0.3794315778614536</v>
      </c>
      <c r="D11" s="18">
        <f>INDEX(MAC!$H$3:$H$16,MATCH('LA-Ref 0.5'!$A11,MAC!$A$3:$A$16,0))</f>
        <v>122.32505440840811</v>
      </c>
      <c r="E11" s="18">
        <f t="shared" si="2"/>
        <v>0.46413988406170448</v>
      </c>
      <c r="F11" s="39"/>
      <c r="G11" s="39"/>
      <c r="H11" s="78" t="s">
        <v>39</v>
      </c>
      <c r="I11" s="78">
        <v>79529</v>
      </c>
      <c r="J11" s="78">
        <f>0.00000606</f>
        <v>6.0599999999999996E-6</v>
      </c>
      <c r="K11" s="78">
        <v>2.72</v>
      </c>
      <c r="L11" s="78">
        <v>1062.077</v>
      </c>
      <c r="M11" s="5">
        <f t="shared" si="1"/>
        <v>98.428726733051704</v>
      </c>
      <c r="N11" s="6">
        <f>100*J11*K11*(L11*0.00000001^3)^2*M11/INDEX('Reference-aQuartz'!$H$4:$H$17,MATCH($B$1,'Reference-aQuartz'!$A$4:$A$17,0))</f>
        <v>2.4383432261427762</v>
      </c>
      <c r="O11" s="80">
        <f t="shared" si="3"/>
        <v>1.8593174112922499E-47</v>
      </c>
      <c r="P11" s="32">
        <f t="shared" si="4"/>
        <v>2.7244183340631318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3.14</v>
      </c>
      <c r="C12" s="18">
        <f t="shared" si="0"/>
        <v>3.1353030381183276</v>
      </c>
      <c r="D12" s="18">
        <f>INDEX(MAC!$H$3:$H$16,MATCH('LA-Ref 0.5'!$A12,MAC!$A$3:$A$16,0))</f>
        <v>44.261072668681777</v>
      </c>
      <c r="E12" s="18">
        <f t="shared" si="2"/>
        <v>1.3877187560849404</v>
      </c>
      <c r="F12" s="39"/>
      <c r="G12" s="39"/>
      <c r="H12" s="78" t="s">
        <v>25</v>
      </c>
      <c r="I12" s="78">
        <v>73446</v>
      </c>
      <c r="J12" s="65">
        <f>0.00008299</f>
        <v>8.2990000000000003E-5</v>
      </c>
      <c r="K12" s="78">
        <v>2.72</v>
      </c>
      <c r="L12" s="78">
        <v>367.07459999999998</v>
      </c>
      <c r="M12" s="5">
        <f t="shared" si="1"/>
        <v>98.428726733051704</v>
      </c>
      <c r="N12" s="6">
        <f>100*J12*K12*(L12*0.00000001^3)^2*M12/INDEX('Reference-aQuartz'!$H$4:$H$17,MATCH($B$1,'Reference-aQuartz'!$A$4:$A$17,0))</f>
        <v>3.9888218358739502</v>
      </c>
      <c r="O12" s="80">
        <f t="shared" si="3"/>
        <v>3.0416086670929076E-47</v>
      </c>
      <c r="P12" s="32">
        <f t="shared" si="4"/>
        <v>4.4568046140728264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0.13</v>
      </c>
      <c r="C13" s="18">
        <f t="shared" si="0"/>
        <v>0.12980553979470782</v>
      </c>
      <c r="D13" s="18">
        <f>INDEX(MAC!$H$3:$H$16,MATCH('LA-Ref 0.5'!$A13,MAC!$A$3:$A$16,0))</f>
        <v>97.328178229861322</v>
      </c>
      <c r="E13" s="18">
        <f t="shared" si="2"/>
        <v>0.12633736712362681</v>
      </c>
      <c r="F13" s="39"/>
      <c r="G13" s="39"/>
      <c r="H13" s="78" t="s">
        <v>44</v>
      </c>
      <c r="I13" s="78">
        <v>15876</v>
      </c>
      <c r="J13" s="78">
        <f>0.00006886</f>
        <v>6.8860000000000001E-5</v>
      </c>
      <c r="K13" s="78">
        <v>2.96</v>
      </c>
      <c r="L13" s="78">
        <v>305.89389999999997</v>
      </c>
      <c r="M13" s="5">
        <f t="shared" si="1"/>
        <v>98.428726733051704</v>
      </c>
      <c r="N13" s="6">
        <f>100*J13*K13*(L13*0.00000001^3)^2*M13/INDEX('Reference-aQuartz'!$H$4:$H$17,MATCH($B$1,'Reference-aQuartz'!$A$4:$A$17,0))</f>
        <v>2.5011610915895699</v>
      </c>
      <c r="O13" s="80">
        <f t="shared" si="3"/>
        <v>1.9072181127657664E-47</v>
      </c>
      <c r="P13" s="32">
        <f t="shared" si="4"/>
        <v>2.7946062151190261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0.33</v>
      </c>
      <c r="C14" s="18">
        <f t="shared" si="0"/>
        <v>0.32950637024810447</v>
      </c>
      <c r="D14" s="18">
        <f>INDEX(MAC!$H$3:$H$16,MATCH('LA-Ref 0.5'!$A14,MAC!$A$3:$A$16,0))</f>
        <v>19.10926020222594</v>
      </c>
      <c r="E14" s="18">
        <f t="shared" si="2"/>
        <v>6.2966229673620283E-2</v>
      </c>
      <c r="F14" s="39"/>
      <c r="G14" s="39"/>
      <c r="H14" s="78" t="s">
        <v>21</v>
      </c>
      <c r="I14" s="78">
        <v>174</v>
      </c>
      <c r="J14" s="78">
        <f>0.00005232</f>
        <v>5.2320000000000001E-5</v>
      </c>
      <c r="K14" s="78">
        <v>2.65</v>
      </c>
      <c r="L14" s="78">
        <v>113.0617</v>
      </c>
      <c r="M14" s="5">
        <f t="shared" si="1"/>
        <v>98.428726733051704</v>
      </c>
      <c r="N14" s="6">
        <f>100*J14*K14*(L14*0.00000001^3)^2*M14/INDEX('Reference-aQuartz'!$H$4:$H$17,MATCH($B$1,'Reference-aQuartz'!$A$4:$A$17,0))</f>
        <v>0.23242665566867277</v>
      </c>
      <c r="O14" s="80">
        <f t="shared" si="3"/>
        <v>1.7723301752592851E-48</v>
      </c>
      <c r="P14" s="32">
        <f t="shared" si="4"/>
        <v>0.25969577836275964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0.19</v>
      </c>
      <c r="C15" s="18">
        <f t="shared" si="0"/>
        <v>0.1897157889307268</v>
      </c>
      <c r="D15" s="18">
        <f>INDEX(MAC!$H$3:$H$16,MATCH('LA-Ref 0.5'!$A15,MAC!$A$3:$A$16,0))</f>
        <v>124.47726788956365</v>
      </c>
      <c r="E15" s="18">
        <f t="shared" si="2"/>
        <v>0.23615303081609995</v>
      </c>
      <c r="F15" s="39"/>
      <c r="G15" s="39"/>
      <c r="H15" s="78"/>
      <c r="I15" s="78"/>
      <c r="J15" s="78"/>
      <c r="K15" s="78"/>
      <c r="L15" s="78"/>
      <c r="M15" s="5">
        <f t="shared" si="1"/>
        <v>98.428726733051704</v>
      </c>
      <c r="N15" s="6">
        <f>100*J15*K15*(L15*0.00000001^3)^2*M15/INDEX('Reference-aQuartz'!$H$4:$H$17,MATCH($B$1,'Reference-aQuartz'!$A$4:$A$17,0))</f>
        <v>0</v>
      </c>
      <c r="O15" s="80">
        <f t="shared" si="3"/>
        <v>0</v>
      </c>
      <c r="P15" s="32">
        <f t="shared" si="4"/>
        <v>0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0.26</v>
      </c>
      <c r="C16" s="18">
        <f t="shared" si="0"/>
        <v>0.25961107958941565</v>
      </c>
      <c r="D16" s="18">
        <f>INDEX(MAC!$H$3:$H$16,MATCH('LA-Ref 0.5'!$A16,MAC!$A$3:$A$16,0))</f>
        <v>39.431437267071992</v>
      </c>
      <c r="E16" s="18">
        <f t="shared" si="2"/>
        <v>0.10236837998666877</v>
      </c>
      <c r="F16" s="39"/>
      <c r="G16" s="39"/>
      <c r="H16" s="78"/>
      <c r="I16" s="78"/>
      <c r="J16" s="78"/>
      <c r="K16" s="78"/>
      <c r="L16" s="78"/>
      <c r="M16" s="5">
        <f t="shared" si="1"/>
        <v>98.428726733051704</v>
      </c>
      <c r="N16" s="6">
        <f>100*J16*K16*(L16*0.00000001^3)^2*M16/INDEX('Reference-aQuartz'!$H$4:$H$17,MATCH($B$1,'Reference-aQuartz'!$A$4:$A$17,0))</f>
        <v>0</v>
      </c>
      <c r="O16" s="80">
        <f t="shared" si="3"/>
        <v>0</v>
      </c>
      <c r="P16" s="32">
        <f t="shared" si="4"/>
        <v>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3.5000000000000003E-2</v>
      </c>
      <c r="C17" s="18">
        <f t="shared" si="0"/>
        <v>3.4947645329344419E-2</v>
      </c>
      <c r="D17" s="18">
        <f>INDEX(MAC!$H$3:$H$16,MATCH('LA-Ref 0.5'!$A17,MAC!$A$3:$A$16,0))</f>
        <v>197.69998688868492</v>
      </c>
      <c r="E17" s="18">
        <f t="shared" si="2"/>
        <v>6.9091490234018019E-2</v>
      </c>
      <c r="H17" s="21"/>
      <c r="I17" s="21"/>
      <c r="J17" s="21"/>
      <c r="K17" s="21"/>
      <c r="L17" s="21"/>
      <c r="M17" s="5">
        <f t="shared" si="1"/>
        <v>98.428726733051704</v>
      </c>
      <c r="N17" s="37">
        <f>100*J17*K17*(L17*0.00000001^3)^2*M17/INDEX('Reference-aQuartz'!$H$4:$H$17,MATCH($B$1,'Reference-aQuartz'!$A$4:$A$17,0))</f>
        <v>0</v>
      </c>
      <c r="O17" s="80">
        <f t="shared" si="3"/>
        <v>0</v>
      </c>
      <c r="P17" s="32">
        <f t="shared" si="4"/>
        <v>0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3.21</v>
      </c>
      <c r="C18" s="18">
        <f>B18</f>
        <v>3.21</v>
      </c>
      <c r="D18" s="18">
        <f>INDEX(MAC!$H$3:$H$16,MATCH('LA-Ref 0.5'!$A18,MAC!$A$3:$A$16,0))</f>
        <v>9.592279079279237</v>
      </c>
      <c r="E18" s="18">
        <f t="shared" si="2"/>
        <v>0.30791215844486347</v>
      </c>
      <c r="H18" s="104" t="s">
        <v>7</v>
      </c>
      <c r="I18" s="105"/>
      <c r="J18" s="105"/>
      <c r="K18" s="105"/>
      <c r="L18" s="105"/>
      <c r="M18" s="106"/>
      <c r="N18" s="37">
        <f>SUM(N6:N17)</f>
        <v>89.499589532797273</v>
      </c>
      <c r="O18" s="79"/>
      <c r="P18" s="32">
        <f>SUM(P6:P17)</f>
        <v>100.00000000000001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78" t="s">
        <v>7</v>
      </c>
      <c r="B19" s="40">
        <f>SUM(B6:B17)</f>
        <v>96.934999999999988</v>
      </c>
      <c r="C19" s="40">
        <f>SUM(C6:C18)</f>
        <v>100</v>
      </c>
      <c r="D19" s="78" t="s">
        <v>29</v>
      </c>
      <c r="E19" s="41">
        <f>SUM(E6:E18)</f>
        <v>98.428726733051704</v>
      </c>
      <c r="H19" s="107" t="s">
        <v>28</v>
      </c>
      <c r="I19" s="108"/>
      <c r="J19" s="108"/>
      <c r="K19" s="108"/>
      <c r="L19" s="108"/>
      <c r="M19" s="109"/>
      <c r="N19" s="37">
        <f>100-N18</f>
        <v>10.500410467202727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44734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0.28999999999999998</v>
      </c>
      <c r="D23" s="52"/>
      <c r="E23" s="52">
        <v>0.28999999999999998</v>
      </c>
      <c r="F23" s="53"/>
    </row>
    <row r="24" spans="1:48" x14ac:dyDescent="0.25">
      <c r="H24" s="46" t="s">
        <v>6</v>
      </c>
      <c r="I24" s="28">
        <v>4.54</v>
      </c>
      <c r="J24" s="33"/>
    </row>
    <row r="25" spans="1:48" x14ac:dyDescent="0.25">
      <c r="A25" s="78" t="s">
        <v>8</v>
      </c>
      <c r="B25" s="78" t="s">
        <v>30</v>
      </c>
      <c r="C25" s="78" t="s">
        <v>31</v>
      </c>
      <c r="D25" s="78" t="s">
        <v>68</v>
      </c>
      <c r="E25" s="78" t="s">
        <v>69</v>
      </c>
      <c r="F25" s="78" t="s">
        <v>74</v>
      </c>
      <c r="G25" s="54"/>
      <c r="H25" s="78" t="s">
        <v>9</v>
      </c>
      <c r="I25" s="78" t="s">
        <v>86</v>
      </c>
      <c r="J25" s="78" t="s">
        <v>2</v>
      </c>
      <c r="K25" s="78" t="s">
        <v>3</v>
      </c>
      <c r="L25" s="78" t="s">
        <v>4</v>
      </c>
      <c r="M25" s="78" t="s">
        <v>5</v>
      </c>
      <c r="N25" s="5" t="s">
        <v>15</v>
      </c>
      <c r="O25" s="5" t="s">
        <v>15</v>
      </c>
      <c r="P25" s="5" t="s">
        <v>15</v>
      </c>
      <c r="Q25" s="88" t="s">
        <v>96</v>
      </c>
      <c r="R25" s="89"/>
      <c r="S25" s="88" t="s">
        <v>122</v>
      </c>
      <c r="T25" s="88" t="s">
        <v>123</v>
      </c>
      <c r="U25" s="88" t="s">
        <v>82</v>
      </c>
      <c r="V25" s="35" t="s">
        <v>83</v>
      </c>
    </row>
    <row r="26" spans="1:48" x14ac:dyDescent="0.25">
      <c r="A26" s="78" t="s">
        <v>11</v>
      </c>
      <c r="B26" s="78" t="s">
        <v>93</v>
      </c>
      <c r="C26" s="78" t="s">
        <v>93</v>
      </c>
      <c r="D26" s="78" t="s">
        <v>13</v>
      </c>
      <c r="E26" s="78" t="s">
        <v>13</v>
      </c>
      <c r="F26" s="78" t="s">
        <v>13</v>
      </c>
      <c r="G26" s="54"/>
      <c r="H26" s="78" t="s">
        <v>11</v>
      </c>
      <c r="I26" s="78" t="s">
        <v>11</v>
      </c>
      <c r="J26" s="78" t="s">
        <v>11</v>
      </c>
      <c r="K26" s="78" t="s">
        <v>16</v>
      </c>
      <c r="L26" s="78" t="s">
        <v>19</v>
      </c>
      <c r="M26" s="78" t="s">
        <v>13</v>
      </c>
      <c r="N26" s="5" t="s">
        <v>75</v>
      </c>
      <c r="O26" s="88" t="s">
        <v>113</v>
      </c>
      <c r="P26" s="78" t="s">
        <v>76</v>
      </c>
      <c r="Q26" s="88" t="s">
        <v>76</v>
      </c>
      <c r="R26" s="89"/>
      <c r="S26" s="88" t="s">
        <v>76</v>
      </c>
      <c r="T26" s="88" t="s">
        <v>76</v>
      </c>
      <c r="U26" s="88" t="s">
        <v>11</v>
      </c>
      <c r="V26" s="35" t="s">
        <v>11</v>
      </c>
    </row>
    <row r="27" spans="1:48" x14ac:dyDescent="0.25">
      <c r="A27" s="1" t="s">
        <v>53</v>
      </c>
      <c r="B27" s="12">
        <f>0.65*'LA-Ref 0.5'!B6+0.35*B6</f>
        <v>19.2</v>
      </c>
      <c r="C27" s="18">
        <f>B27*(100-B$39)/B$41</f>
        <v>19.171279723526077</v>
      </c>
      <c r="D27" s="18">
        <f>INDEX(MAC!$H$3:$H$16,MATCH($A27,MAC!$A$3:$A$16,0))</f>
        <v>35.900659077291785</v>
      </c>
      <c r="E27" s="18">
        <f>C27*D27/100</f>
        <v>6.8826157742970633</v>
      </c>
      <c r="F27" s="21"/>
      <c r="G27" s="55"/>
      <c r="H27" s="78" t="s">
        <v>34</v>
      </c>
      <c r="I27" s="78"/>
      <c r="J27" s="78">
        <f>0.00000131</f>
        <v>1.31E-6</v>
      </c>
      <c r="K27" s="81">
        <f>'LA-Ref 0.5'!K6</f>
        <v>3.15</v>
      </c>
      <c r="L27" s="81">
        <f>'LA-Ref 0.5'!L6</f>
        <v>2166.0790000000002</v>
      </c>
      <c r="M27" s="5">
        <f>$F$41</f>
        <v>72.858876093705675</v>
      </c>
      <c r="N27" s="6">
        <f>100*J27*K27*(L27*0.00000001^3)^2*M27/INDEX('Reference-aQuartz'!$H$4:$H$17,MATCH($B$22,'Reference-aQuartz'!$A$4:$A$17,0))</f>
        <v>1.6370768751661342</v>
      </c>
      <c r="O27" s="32">
        <f>P27</f>
        <v>2.1118291689643134</v>
      </c>
      <c r="P27" s="31">
        <f t="shared" ref="P27:P39" si="5">N27*(1+$E$23)</f>
        <v>2.1118291689643134</v>
      </c>
      <c r="Q27" s="69"/>
      <c r="R27" s="110" t="s">
        <v>79</v>
      </c>
      <c r="S27" s="100">
        <f>'LA-Ref 0.5'!P6+'LA-Ref 0.5'!P7</f>
        <v>65.176686588064143</v>
      </c>
      <c r="T27" s="100">
        <f>P27+P28</f>
        <v>2.1118291689643134</v>
      </c>
      <c r="U27" s="102">
        <f>(S27-T27)/S27</f>
        <v>0.9675983963052357</v>
      </c>
      <c r="V27" s="29">
        <f>(U27*S27+U29*S29+U30*S30+U31*S31)/S32</f>
        <v>0.89762969587052743</v>
      </c>
    </row>
    <row r="28" spans="1:48" x14ac:dyDescent="0.25">
      <c r="A28" s="1" t="s">
        <v>54</v>
      </c>
      <c r="B28" s="12">
        <f>0.65*'LA-Ref 0.5'!B7+0.35*B7</f>
        <v>5.2</v>
      </c>
      <c r="C28" s="18">
        <f t="shared" ref="C28:C38" si="6">B28*(100-B$39)/B$41</f>
        <v>5.1922215917883126</v>
      </c>
      <c r="D28" s="18">
        <f>INDEX(MAC!$H$3:$H$16,MATCH($A28,MAC!$A$3:$A$16,0))</f>
        <v>31.664851266660783</v>
      </c>
      <c r="E28" s="18">
        <f t="shared" ref="E28:E39" si="7">C28*D28/100</f>
        <v>1.6441092444752161</v>
      </c>
      <c r="F28" s="21"/>
      <c r="G28" s="55"/>
      <c r="H28" s="78" t="s">
        <v>35</v>
      </c>
      <c r="I28" s="78">
        <v>94742</v>
      </c>
      <c r="J28" s="78">
        <v>0</v>
      </c>
      <c r="K28" s="81">
        <f>'LA-Ref 0.5'!K7</f>
        <v>3.16</v>
      </c>
      <c r="L28" s="81">
        <f>'LA-Ref 0.5'!L7</f>
        <v>4316.1279999999997</v>
      </c>
      <c r="M28" s="5">
        <f t="shared" ref="M28:M39" si="8">$F$41</f>
        <v>72.858876093705675</v>
      </c>
      <c r="N28" s="6">
        <f>100*J28*K28*(L28*0.00000001^3)^2*M28/INDEX('Reference-aQuartz'!$H$4:$H$17,MATCH($B$22,'Reference-aQuartz'!$A$4:$A$17,0))</f>
        <v>0</v>
      </c>
      <c r="O28" s="32">
        <f t="shared" ref="O28:O39" si="9">P28</f>
        <v>0</v>
      </c>
      <c r="P28" s="31">
        <f t="shared" si="5"/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0.5'!B8+0.35*B8</f>
        <v>3.67</v>
      </c>
      <c r="C29" s="18">
        <f t="shared" si="6"/>
        <v>3.6645102388198283</v>
      </c>
      <c r="D29" s="18">
        <f>INDEX(MAC!$H$3:$H$16,MATCH($A29,MAC!$A$3:$A$16,0))</f>
        <v>214.68463619455559</v>
      </c>
      <c r="E29" s="18">
        <f t="shared" si="7"/>
        <v>7.8671404745225892</v>
      </c>
      <c r="F29" s="21"/>
      <c r="G29" s="55"/>
      <c r="H29" s="78" t="s">
        <v>36</v>
      </c>
      <c r="I29" s="78">
        <v>81096</v>
      </c>
      <c r="J29" s="78">
        <v>1.1781E-4</v>
      </c>
      <c r="K29" s="81">
        <f>'LA-Ref 0.5'!K8</f>
        <v>3.29</v>
      </c>
      <c r="L29" s="81">
        <f>'LA-Ref 0.5'!L8</f>
        <v>347.22930000000002</v>
      </c>
      <c r="M29" s="5">
        <f t="shared" si="8"/>
        <v>72.858876093705675</v>
      </c>
      <c r="N29" s="6">
        <f>100*J29*K29*(L29*0.00000001^3)^2*M29/INDEX('Reference-aQuartz'!$H$4:$H$17,MATCH($B$22,'Reference-aQuartz'!$A$4:$A$17,0))</f>
        <v>3.9513857027511343</v>
      </c>
      <c r="O29" s="32">
        <f t="shared" si="9"/>
        <v>5.097287556548963</v>
      </c>
      <c r="P29" s="31">
        <f t="shared" si="5"/>
        <v>5.097287556548963</v>
      </c>
      <c r="Q29" s="69"/>
      <c r="R29" s="89" t="s">
        <v>80</v>
      </c>
      <c r="S29" s="69">
        <f>'LA-Ref 0.5'!P8</f>
        <v>10.194794468122005</v>
      </c>
      <c r="T29" s="69">
        <f>P29</f>
        <v>5.097287556548963</v>
      </c>
      <c r="U29" s="34">
        <f>(S29-T29)/S29</f>
        <v>0.50001075818765961</v>
      </c>
    </row>
    <row r="30" spans="1:48" x14ac:dyDescent="0.25">
      <c r="A30" s="1" t="s">
        <v>0</v>
      </c>
      <c r="B30" s="12">
        <f>0.65*'LA-Ref 0.5'!B9+0.35*B9</f>
        <v>1</v>
      </c>
      <c r="C30" s="18">
        <f t="shared" si="6"/>
        <v>0.99850415226698319</v>
      </c>
      <c r="D30" s="18">
        <f>INDEX(MAC!$H$3:$H$16,MATCH($A30,MAC!$A$3:$A$16,0))</f>
        <v>28.686693628423974</v>
      </c>
      <c r="E30" s="18">
        <f t="shared" si="7"/>
        <v>0.28643782702792148</v>
      </c>
      <c r="F30" s="21"/>
      <c r="G30" s="55"/>
      <c r="H30" s="78" t="s">
        <v>37</v>
      </c>
      <c r="I30" s="78">
        <v>1841</v>
      </c>
      <c r="J30" s="78">
        <v>0</v>
      </c>
      <c r="K30" s="81">
        <f>'LA-Ref 0.5'!K9</f>
        <v>3.04</v>
      </c>
      <c r="L30" s="81">
        <f>'LA-Ref 0.5'!L9</f>
        <v>3541.5859999999998</v>
      </c>
      <c r="M30" s="5">
        <f t="shared" si="8"/>
        <v>72.858876093705675</v>
      </c>
      <c r="N30" s="6">
        <f>100*J30*K30*(L30*0.00000001^3)^2*M30/INDEX('Reference-aQuartz'!$H$4:$H$17,MATCH($B$22,'Reference-aQuartz'!$A$4:$A$17,0))</f>
        <v>0</v>
      </c>
      <c r="O30" s="32">
        <f t="shared" si="9"/>
        <v>0</v>
      </c>
      <c r="P30" s="31">
        <f t="shared" si="5"/>
        <v>0</v>
      </c>
      <c r="Q30" s="69"/>
      <c r="R30" s="89" t="s">
        <v>37</v>
      </c>
      <c r="S30" s="69">
        <f>'LA-Ref 0.5'!P9</f>
        <v>3.6316399310689436</v>
      </c>
      <c r="T30" s="69">
        <f>P30</f>
        <v>0</v>
      </c>
      <c r="U30" s="34">
        <f t="shared" ref="U30:U31" si="10">(S30-T30)/S30</f>
        <v>1</v>
      </c>
    </row>
    <row r="31" spans="1:48" x14ac:dyDescent="0.25">
      <c r="A31" s="1" t="s">
        <v>1</v>
      </c>
      <c r="B31" s="12">
        <f>0.65*'LA-Ref 0.5'!B10+0.35*B10</f>
        <v>63.4</v>
      </c>
      <c r="C31" s="18">
        <f t="shared" si="6"/>
        <v>63.305163253726732</v>
      </c>
      <c r="D31" s="18">
        <f>INDEX(MAC!$H$3:$H$16,MATCH($A31,MAC!$A$3:$A$16,0))</f>
        <v>124.77929454143408</v>
      </c>
      <c r="E31" s="18">
        <f t="shared" si="7"/>
        <v>78.991736116303372</v>
      </c>
      <c r="F31" s="21"/>
      <c r="G31" s="55"/>
      <c r="H31" s="78" t="s">
        <v>38</v>
      </c>
      <c r="I31" s="78">
        <v>98836</v>
      </c>
      <c r="J31" s="65">
        <v>2.6069999999999999E-5</v>
      </c>
      <c r="K31" s="81">
        <f>'LA-Ref 0.5'!K10</f>
        <v>3.75</v>
      </c>
      <c r="L31" s="81">
        <f>'LA-Ref 0.5'!L10</f>
        <v>430.91660000000002</v>
      </c>
      <c r="M31" s="5">
        <f t="shared" si="8"/>
        <v>72.858876093705675</v>
      </c>
      <c r="N31" s="6">
        <f>100*J31*K31*(L31*0.00000001^3)^2*M31/INDEX('Reference-aQuartz'!$H$4:$H$17,MATCH($B$22,'Reference-aQuartz'!$A$4:$A$17,0))</f>
        <v>1.5349611521207409</v>
      </c>
      <c r="O31" s="32">
        <f t="shared" si="9"/>
        <v>1.9800998862357557</v>
      </c>
      <c r="P31" s="31">
        <f t="shared" si="5"/>
        <v>1.9800998862357557</v>
      </c>
      <c r="Q31" s="69"/>
      <c r="R31" s="89" t="s">
        <v>81</v>
      </c>
      <c r="S31" s="69">
        <f>'LA-Ref 0.5'!P10</f>
        <v>10.761354071127171</v>
      </c>
      <c r="T31" s="69">
        <f>P31</f>
        <v>1.9800998862357557</v>
      </c>
      <c r="U31" s="34">
        <f t="shared" si="10"/>
        <v>0.81599900224931865</v>
      </c>
    </row>
    <row r="32" spans="1:48" x14ac:dyDescent="0.25">
      <c r="A32" s="1" t="s">
        <v>56</v>
      </c>
      <c r="B32" s="12">
        <f>0.65*'LA-Ref 0.5'!B11+0.35*B11</f>
        <v>0.38</v>
      </c>
      <c r="C32" s="18">
        <f t="shared" si="6"/>
        <v>0.3794315778614536</v>
      </c>
      <c r="D32" s="18">
        <f>INDEX(MAC!$H$3:$H$16,MATCH($A32,MAC!$A$3:$A$16,0))</f>
        <v>122.32505440840811</v>
      </c>
      <c r="E32" s="18">
        <f t="shared" si="7"/>
        <v>0.46413988406170448</v>
      </c>
      <c r="F32" s="21"/>
      <c r="G32" s="55"/>
      <c r="H32" s="78" t="s">
        <v>40</v>
      </c>
      <c r="I32" s="78">
        <v>202220</v>
      </c>
      <c r="J32" s="78">
        <v>2.5129180000000001E-2</v>
      </c>
      <c r="K32" s="78">
        <v>2.2400000000000002</v>
      </c>
      <c r="L32" s="78">
        <v>54.866750000000003</v>
      </c>
      <c r="M32" s="5">
        <f t="shared" si="8"/>
        <v>72.858876093705675</v>
      </c>
      <c r="N32" s="6">
        <f>100*J32*K32*(L32*0.00000001^3)^2*M32/INDEX('Reference-aQuartz'!$H$4:$H$17,MATCH($B$22,'Reference-aQuartz'!$A$4:$A$17,0))</f>
        <v>14.327929886590088</v>
      </c>
      <c r="O32" s="32">
        <f t="shared" si="9"/>
        <v>18.483029553701215</v>
      </c>
      <c r="P32" s="31">
        <f t="shared" si="5"/>
        <v>18.483029553701215</v>
      </c>
      <c r="Q32" s="69">
        <v>18.100000000000001</v>
      </c>
      <c r="R32" s="89" t="s">
        <v>84</v>
      </c>
      <c r="S32" s="69">
        <f>SUM(S27:S31)</f>
        <v>89.764475058382274</v>
      </c>
      <c r="T32" s="69">
        <f>SUM(T27:T31)</f>
        <v>9.1892166117490319</v>
      </c>
    </row>
    <row r="33" spans="1:22" x14ac:dyDescent="0.25">
      <c r="A33" s="1" t="s">
        <v>57</v>
      </c>
      <c r="B33" s="12">
        <f>0.65*'LA-Ref 0.5'!B12+0.35*B12</f>
        <v>3.1400000000000006</v>
      </c>
      <c r="C33" s="18">
        <f t="shared" si="6"/>
        <v>3.135303038118328</v>
      </c>
      <c r="D33" s="18">
        <f>INDEX(MAC!$H$3:$H$16,MATCH($A33,MAC!$A$3:$A$16,0))</f>
        <v>44.261072668681777</v>
      </c>
      <c r="E33" s="18">
        <f t="shared" si="7"/>
        <v>1.3877187560849407</v>
      </c>
      <c r="F33" s="21"/>
      <c r="G33" s="55"/>
      <c r="H33" s="78" t="s">
        <v>25</v>
      </c>
      <c r="I33" s="78">
        <v>73446</v>
      </c>
      <c r="J33" s="65">
        <v>4.6360000000000003E-5</v>
      </c>
      <c r="K33" s="78">
        <v>2.71</v>
      </c>
      <c r="L33" s="78">
        <v>368.07749999999999</v>
      </c>
      <c r="M33" s="5">
        <f t="shared" si="8"/>
        <v>72.858876093705675</v>
      </c>
      <c r="N33" s="6">
        <f>100*J33*K33*(L33*0.00000001^3)^2*M33/INDEX('Reference-aQuartz'!$H$4:$H$17,MATCH($B$22,'Reference-aQuartz'!$A$4:$A$17,0))</f>
        <v>1.4392289948208246</v>
      </c>
      <c r="O33" s="32">
        <f t="shared" si="9"/>
        <v>1.8566054033188637</v>
      </c>
      <c r="P33" s="31">
        <f t="shared" si="5"/>
        <v>1.8566054033188637</v>
      </c>
      <c r="Q33" s="69">
        <v>2.2000000000000002</v>
      </c>
    </row>
    <row r="34" spans="1:22" x14ac:dyDescent="0.25">
      <c r="A34" s="1" t="s">
        <v>14</v>
      </c>
      <c r="B34" s="12">
        <f>0.65*'LA-Ref 0.5'!B13+0.35*B13</f>
        <v>0.13</v>
      </c>
      <c r="C34" s="18">
        <f t="shared" si="6"/>
        <v>0.12980553979470782</v>
      </c>
      <c r="D34" s="18">
        <f>INDEX(MAC!$H$3:$H$16,MATCH($A34,MAC!$A$3:$A$16,0))</f>
        <v>97.328178229861322</v>
      </c>
      <c r="E34" s="18">
        <f t="shared" si="7"/>
        <v>0.12633736712362681</v>
      </c>
      <c r="F34" s="21"/>
      <c r="G34" s="55"/>
      <c r="H34" s="78" t="s">
        <v>21</v>
      </c>
      <c r="I34" s="78">
        <v>174</v>
      </c>
      <c r="J34" s="65">
        <v>6.2069999999999994E-5</v>
      </c>
      <c r="K34" s="78">
        <v>2.65</v>
      </c>
      <c r="L34" s="78">
        <v>112.8839</v>
      </c>
      <c r="M34" s="5">
        <f t="shared" si="8"/>
        <v>72.858876093705675</v>
      </c>
      <c r="N34" s="6">
        <f>100*J34*K34*(L34*0.00000001^3)^2*M34/INDEX('Reference-aQuartz'!$H$4:$H$17,MATCH($B$22,'Reference-aQuartz'!$A$4:$A$17,0))</f>
        <v>0.17722715691533514</v>
      </c>
      <c r="O34" s="32">
        <f t="shared" si="9"/>
        <v>0.22862303242078233</v>
      </c>
      <c r="P34" s="31">
        <f t="shared" si="5"/>
        <v>0.22862303242078233</v>
      </c>
      <c r="Q34" s="69"/>
    </row>
    <row r="35" spans="1:22" x14ac:dyDescent="0.25">
      <c r="A35" s="1" t="s">
        <v>58</v>
      </c>
      <c r="B35" s="12">
        <f>0.65*'LA-Ref 0.5'!B14+0.35*B14</f>
        <v>0.33</v>
      </c>
      <c r="C35" s="18">
        <f t="shared" si="6"/>
        <v>0.32950637024810447</v>
      </c>
      <c r="D35" s="18">
        <f>INDEX(MAC!$H$3:$H$16,MATCH($A35,MAC!$A$3:$A$16,0))</f>
        <v>19.10926020222594</v>
      </c>
      <c r="E35" s="18">
        <f t="shared" si="7"/>
        <v>6.2966229673620283E-2</v>
      </c>
      <c r="F35" s="21"/>
      <c r="G35" s="55"/>
      <c r="H35" s="78" t="s">
        <v>87</v>
      </c>
      <c r="I35" s="78">
        <v>155395</v>
      </c>
      <c r="J35" s="65">
        <v>6.28E-6</v>
      </c>
      <c r="K35" s="78">
        <v>1.79</v>
      </c>
      <c r="L35" s="78">
        <v>2332.4549999999999</v>
      </c>
      <c r="M35" s="5">
        <f t="shared" si="8"/>
        <v>72.858876093705675</v>
      </c>
      <c r="N35" s="6">
        <f>100*J35*K35*(L35*0.00000001^3)^2*M35/INDEX('Reference-aQuartz'!$H$4:$H$17,MATCH($B$22,'Reference-aQuartz'!$A$4:$A$17,0))</f>
        <v>5.171039587820049</v>
      </c>
      <c r="O35" s="32">
        <f t="shared" si="9"/>
        <v>6.6706410682878632</v>
      </c>
      <c r="P35" s="31">
        <f t="shared" si="5"/>
        <v>6.6706410682878632</v>
      </c>
      <c r="Q35" s="69"/>
    </row>
    <row r="36" spans="1:22" x14ac:dyDescent="0.25">
      <c r="A36" s="1" t="s">
        <v>59</v>
      </c>
      <c r="B36" s="12">
        <f>0.65*'LA-Ref 0.5'!B15+0.35*B15</f>
        <v>0.19</v>
      </c>
      <c r="C36" s="18">
        <f t="shared" si="6"/>
        <v>0.1897157889307268</v>
      </c>
      <c r="D36" s="18">
        <f>INDEX(MAC!$H$3:$H$16,MATCH($A36,MAC!$A$3:$A$16,0))</f>
        <v>124.47726788956365</v>
      </c>
      <c r="E36" s="18">
        <f t="shared" si="7"/>
        <v>0.23615303081609995</v>
      </c>
      <c r="F36" s="21"/>
      <c r="G36" s="55"/>
      <c r="H36" s="78" t="s">
        <v>88</v>
      </c>
      <c r="I36" s="78">
        <v>81963</v>
      </c>
      <c r="J36" s="82">
        <v>0</v>
      </c>
      <c r="K36" s="78">
        <v>2.14</v>
      </c>
      <c r="L36" s="78">
        <v>182.05549999999999</v>
      </c>
      <c r="M36" s="5">
        <f t="shared" si="8"/>
        <v>72.858876093705675</v>
      </c>
      <c r="N36" s="6">
        <f>100*J36*K36*(L36*0.00000001^3)^2*M36/INDEX('Reference-aQuartz'!$H$4:$H$17,MATCH($B$22,'Reference-aQuartz'!$A$4:$A$17,0))</f>
        <v>0</v>
      </c>
      <c r="O36" s="32">
        <f t="shared" si="9"/>
        <v>0</v>
      </c>
      <c r="P36" s="31">
        <f t="shared" si="5"/>
        <v>0</v>
      </c>
      <c r="Q36" s="69"/>
    </row>
    <row r="37" spans="1:22" x14ac:dyDescent="0.25">
      <c r="A37" s="1" t="s">
        <v>60</v>
      </c>
      <c r="B37" s="12">
        <f>0.65*'LA-Ref 0.5'!B16+0.35*B16</f>
        <v>0.26</v>
      </c>
      <c r="C37" s="18">
        <f t="shared" si="6"/>
        <v>0.25961107958941565</v>
      </c>
      <c r="D37" s="18">
        <f>INDEX(MAC!$H$3:$H$16,MATCH($A37,MAC!$A$3:$A$16,0))</f>
        <v>39.431437267071992</v>
      </c>
      <c r="E37" s="18">
        <f t="shared" si="7"/>
        <v>0.10236837998666877</v>
      </c>
      <c r="F37" s="21"/>
      <c r="G37" s="55"/>
      <c r="H37" s="78" t="s">
        <v>89</v>
      </c>
      <c r="I37" s="78">
        <v>59327</v>
      </c>
      <c r="J37" s="65">
        <v>3.8739999999999998E-5</v>
      </c>
      <c r="K37" s="78">
        <v>2.16</v>
      </c>
      <c r="L37" s="78">
        <v>436.86099999999999</v>
      </c>
      <c r="M37" s="5">
        <f t="shared" si="8"/>
        <v>72.858876093705675</v>
      </c>
      <c r="N37" s="6">
        <f>100*J37*K37*(L37*0.00000001^3)^2*M37/INDEX('Reference-aQuartz'!$H$4:$H$17,MATCH($B$22,'Reference-aQuartz'!$A$4:$A$17,0))</f>
        <v>1.3503257801843507</v>
      </c>
      <c r="O37" s="32">
        <f t="shared" si="9"/>
        <v>1.7419202564378125</v>
      </c>
      <c r="P37" s="31">
        <f t="shared" si="5"/>
        <v>1.7419202564378125</v>
      </c>
      <c r="Q37" s="69"/>
    </row>
    <row r="38" spans="1:22" x14ac:dyDescent="0.25">
      <c r="A38" s="19" t="s">
        <v>23</v>
      </c>
      <c r="B38" s="12">
        <f>0.65*'LA-Ref 0.5'!B17+0.35*B17</f>
        <v>3.5000000000000003E-2</v>
      </c>
      <c r="C38" s="18">
        <f t="shared" si="6"/>
        <v>3.4947645329344419E-2</v>
      </c>
      <c r="D38" s="18">
        <f>INDEX(MAC!$H$3:$H$16,MATCH($A38,MAC!$A$3:$A$16,0))</f>
        <v>197.69998688868492</v>
      </c>
      <c r="E38" s="18">
        <f t="shared" si="7"/>
        <v>6.9091490234018019E-2</v>
      </c>
      <c r="F38" s="21"/>
      <c r="G38" s="55"/>
      <c r="H38" s="78" t="s">
        <v>90</v>
      </c>
      <c r="I38" s="78">
        <v>2105252</v>
      </c>
      <c r="J38" s="65">
        <v>2.4899999999999999E-6</v>
      </c>
      <c r="K38" s="78">
        <v>1.81</v>
      </c>
      <c r="L38" s="78">
        <v>1420.0820000000001</v>
      </c>
      <c r="M38" s="5">
        <f t="shared" si="8"/>
        <v>72.858876093705675</v>
      </c>
      <c r="N38" s="6">
        <f>100*J38*K38*(L38*0.00000001^3)^2*M38/INDEX('Reference-aQuartz'!$H$4:$H$17,MATCH($B$22,'Reference-aQuartz'!$A$4:$A$17,0))</f>
        <v>0.76849917885793528</v>
      </c>
      <c r="O38" s="32">
        <f t="shared" si="9"/>
        <v>0.9913639407267365</v>
      </c>
      <c r="P38" s="31">
        <f t="shared" si="5"/>
        <v>0.9913639407267365</v>
      </c>
      <c r="Q38" s="69"/>
    </row>
    <row r="39" spans="1:22" x14ac:dyDescent="0.25">
      <c r="A39" s="1" t="s">
        <v>66</v>
      </c>
      <c r="B39" s="12">
        <f>0.65*'LA-Ref 0.5'!B18+0.35*B18</f>
        <v>3.21</v>
      </c>
      <c r="C39" s="18">
        <f>B39</f>
        <v>3.21</v>
      </c>
      <c r="D39" s="18">
        <f>INDEX(MAC!$H$3:$H$16,MATCH($A39,MAC!$A$3:$A$16,0))</f>
        <v>9.592279079279237</v>
      </c>
      <c r="E39" s="18">
        <f t="shared" si="7"/>
        <v>0.30791215844486347</v>
      </c>
      <c r="F39" s="21"/>
      <c r="G39" s="55"/>
      <c r="H39" s="21"/>
      <c r="I39" s="21"/>
      <c r="J39" s="21"/>
      <c r="K39" s="21"/>
      <c r="L39" s="21"/>
      <c r="M39" s="5">
        <f t="shared" si="8"/>
        <v>72.858876093705675</v>
      </c>
      <c r="N39" s="6">
        <f>100*J39*K39*(L39*0.00000001^3)^2*M39/INDEX('Reference-aQuartz'!$H$4:$H$17,MATCH($B$22,'Reference-aQuartz'!$A$4:$A$17,0))</f>
        <v>0</v>
      </c>
      <c r="O39" s="32">
        <f t="shared" si="9"/>
        <v>0</v>
      </c>
      <c r="P39" s="31">
        <f t="shared" si="5"/>
        <v>0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107" t="s">
        <v>7</v>
      </c>
      <c r="I40" s="108"/>
      <c r="J40" s="108"/>
      <c r="K40" s="108"/>
      <c r="L40" s="108"/>
      <c r="M40" s="109"/>
      <c r="N40" s="6">
        <f>SUM(N27:N39)</f>
        <v>30.357674315226589</v>
      </c>
      <c r="O40" s="31">
        <f>SUM(O27:O39)</f>
        <v>39.161399866642306</v>
      </c>
      <c r="P40" s="31">
        <f>SUM(P27:P39)</f>
        <v>39.161399866642306</v>
      </c>
    </row>
    <row r="41" spans="1:22" x14ac:dyDescent="0.25">
      <c r="A41" s="78" t="s">
        <v>7</v>
      </c>
      <c r="B41" s="40">
        <f>SUM(B27:B38)</f>
        <v>96.934999999999988</v>
      </c>
      <c r="C41" s="40">
        <f>SUM(C27:C39)</f>
        <v>100</v>
      </c>
      <c r="D41" s="78" t="s">
        <v>29</v>
      </c>
      <c r="E41" s="56">
        <f>SUM(E27:E39)</f>
        <v>98.428726733051704</v>
      </c>
      <c r="F41" s="41">
        <f>E41*(1-C23)+D40*C23</f>
        <v>72.858876093705675</v>
      </c>
      <c r="H41" s="107" t="s">
        <v>28</v>
      </c>
      <c r="I41" s="108"/>
      <c r="J41" s="108"/>
      <c r="K41" s="108"/>
      <c r="L41" s="108"/>
      <c r="M41" s="109"/>
      <c r="N41" s="6">
        <f>100-N40</f>
        <v>69.642325684773411</v>
      </c>
      <c r="O41" s="31">
        <f>100-O40</f>
        <v>60.838600133357694</v>
      </c>
      <c r="P41" s="31">
        <f>100-P40</f>
        <v>60.838600133357694</v>
      </c>
    </row>
    <row r="44" spans="1:22" x14ac:dyDescent="0.25">
      <c r="A44" s="42" t="s">
        <v>32</v>
      </c>
      <c r="B44" s="43">
        <v>44846</v>
      </c>
      <c r="C44" s="47" t="s">
        <v>85</v>
      </c>
      <c r="D44" s="48"/>
      <c r="E44" s="48" t="s">
        <v>77</v>
      </c>
      <c r="F44" s="49"/>
    </row>
    <row r="45" spans="1:22" x14ac:dyDescent="0.25">
      <c r="A45" s="44" t="s">
        <v>78</v>
      </c>
      <c r="B45" s="50"/>
      <c r="C45" s="51">
        <v>0.33</v>
      </c>
      <c r="D45" s="52"/>
      <c r="E45" s="52">
        <v>0.33</v>
      </c>
      <c r="F45" s="53"/>
    </row>
    <row r="46" spans="1:22" x14ac:dyDescent="0.25">
      <c r="H46" s="46" t="s">
        <v>6</v>
      </c>
      <c r="I46" s="87">
        <v>3.99</v>
      </c>
      <c r="J46" s="33"/>
    </row>
    <row r="47" spans="1:22" x14ac:dyDescent="0.25">
      <c r="A47" s="78" t="s">
        <v>8</v>
      </c>
      <c r="B47" s="78" t="s">
        <v>30</v>
      </c>
      <c r="C47" s="78" t="s">
        <v>31</v>
      </c>
      <c r="D47" s="78" t="s">
        <v>68</v>
      </c>
      <c r="E47" s="78" t="s">
        <v>69</v>
      </c>
      <c r="F47" s="78" t="s">
        <v>74</v>
      </c>
      <c r="G47" s="54"/>
      <c r="H47" s="78" t="s">
        <v>9</v>
      </c>
      <c r="I47" s="78" t="s">
        <v>86</v>
      </c>
      <c r="J47" s="78" t="s">
        <v>2</v>
      </c>
      <c r="K47" s="78" t="s">
        <v>3</v>
      </c>
      <c r="L47" s="78" t="s">
        <v>4</v>
      </c>
      <c r="M47" s="78" t="s">
        <v>5</v>
      </c>
      <c r="N47" s="5" t="s">
        <v>15</v>
      </c>
      <c r="O47" s="5" t="s">
        <v>15</v>
      </c>
      <c r="P47" s="5" t="s">
        <v>15</v>
      </c>
      <c r="Q47" s="88" t="s">
        <v>96</v>
      </c>
      <c r="R47" s="89"/>
      <c r="S47" s="96" t="s">
        <v>122</v>
      </c>
      <c r="T47" s="96" t="s">
        <v>123</v>
      </c>
      <c r="U47" s="88" t="s">
        <v>82</v>
      </c>
      <c r="V47" s="35" t="s">
        <v>83</v>
      </c>
    </row>
    <row r="48" spans="1:22" x14ac:dyDescent="0.25">
      <c r="A48" s="78" t="s">
        <v>11</v>
      </c>
      <c r="B48" s="78" t="s">
        <v>93</v>
      </c>
      <c r="C48" s="78" t="s">
        <v>93</v>
      </c>
      <c r="D48" s="78" t="s">
        <v>13</v>
      </c>
      <c r="E48" s="78" t="s">
        <v>13</v>
      </c>
      <c r="F48" s="78" t="s">
        <v>13</v>
      </c>
      <c r="G48" s="54"/>
      <c r="H48" s="78" t="s">
        <v>11</v>
      </c>
      <c r="I48" s="78" t="s">
        <v>11</v>
      </c>
      <c r="J48" s="78" t="s">
        <v>11</v>
      </c>
      <c r="K48" s="78" t="s">
        <v>16</v>
      </c>
      <c r="L48" s="78" t="s">
        <v>19</v>
      </c>
      <c r="M48" s="78" t="s">
        <v>13</v>
      </c>
      <c r="N48" s="5" t="s">
        <v>75</v>
      </c>
      <c r="O48" s="88" t="s">
        <v>113</v>
      </c>
      <c r="P48" s="78" t="s">
        <v>76</v>
      </c>
      <c r="Q48" s="88" t="s">
        <v>76</v>
      </c>
      <c r="R48" s="89"/>
      <c r="S48" s="88" t="s">
        <v>76</v>
      </c>
      <c r="T48" s="88" t="s">
        <v>76</v>
      </c>
      <c r="U48" s="88" t="s">
        <v>11</v>
      </c>
      <c r="V48" s="35" t="s">
        <v>11</v>
      </c>
    </row>
    <row r="49" spans="1:22" x14ac:dyDescent="0.25">
      <c r="A49" s="1" t="s">
        <v>53</v>
      </c>
      <c r="B49" s="12">
        <f>0.65*'LA-Ref 0.5'!B6+0.35*B6</f>
        <v>19.2</v>
      </c>
      <c r="C49" s="18">
        <f>B49*(100-B$39)/B$41</f>
        <v>19.171279723526077</v>
      </c>
      <c r="D49" s="18">
        <f>INDEX(MAC!$H$3:$H$16,MATCH($A49,MAC!$A$3:$A$16,0))</f>
        <v>35.900659077291785</v>
      </c>
      <c r="E49" s="18">
        <f>C49*D49/100</f>
        <v>6.8826157742970633</v>
      </c>
      <c r="F49" s="21"/>
      <c r="G49" s="55"/>
      <c r="H49" s="78" t="s">
        <v>34</v>
      </c>
      <c r="I49" s="78"/>
      <c r="J49" s="65">
        <v>4.2E-7</v>
      </c>
      <c r="K49" s="81">
        <f>'LA-Ref 0.5'!K6</f>
        <v>3.15</v>
      </c>
      <c r="L49" s="81">
        <f>'LA-Ref 0.5'!L6</f>
        <v>2166.0790000000002</v>
      </c>
      <c r="M49" s="5">
        <f>$F$63</f>
        <v>69.33200014345104</v>
      </c>
      <c r="N49" s="6">
        <f>100*J49*K49*(L49*0.00000001^3)^2*M49/INDEX('Reference-aQuartz'!$H$4:$H$17,MATCH($B$44,'Reference-aQuartz'!$A$4:$A$17,0))</f>
        <v>0.53018820027378777</v>
      </c>
      <c r="O49" s="32">
        <f>P49</f>
        <v>0.70515030636413778</v>
      </c>
      <c r="P49" s="31">
        <f t="shared" ref="P49:P61" si="11">N49*(1+$E$45)</f>
        <v>0.70515030636413778</v>
      </c>
      <c r="Q49" s="69"/>
      <c r="R49" s="110" t="s">
        <v>79</v>
      </c>
      <c r="S49" s="100">
        <f>('LA-Ref 0.5'!P6+'LA-Ref 0.5'!P7)</f>
        <v>65.176686588064143</v>
      </c>
      <c r="T49" s="100">
        <f>P49+P50</f>
        <v>0.70515030636413778</v>
      </c>
      <c r="U49" s="102">
        <f>(S49-T49)/S49</f>
        <v>0.98918094270700063</v>
      </c>
      <c r="V49" s="29">
        <f>(U49*S49+U51*S51+U52*S52+U53*S53)/S54</f>
        <v>0.95373520404416146</v>
      </c>
    </row>
    <row r="50" spans="1:22" x14ac:dyDescent="0.25">
      <c r="A50" s="1" t="s">
        <v>54</v>
      </c>
      <c r="B50" s="12">
        <f>0.65*'LA-Ref 0.5'!B7+0.35*B7</f>
        <v>5.2</v>
      </c>
      <c r="C50" s="18">
        <f t="shared" ref="C50:C60" si="12">B50*(100-B$39)/B$41</f>
        <v>5.1922215917883126</v>
      </c>
      <c r="D50" s="18">
        <f>INDEX(MAC!$H$3:$H$16,MATCH($A50,MAC!$A$3:$A$16,0))</f>
        <v>31.664851266660783</v>
      </c>
      <c r="E50" s="18">
        <f t="shared" ref="E50:E61" si="13">C50*D50/100</f>
        <v>1.6441092444752161</v>
      </c>
      <c r="F50" s="21"/>
      <c r="G50" s="55"/>
      <c r="H50" s="78" t="s">
        <v>35</v>
      </c>
      <c r="I50" s="78">
        <v>94742</v>
      </c>
      <c r="J50" s="78">
        <v>0</v>
      </c>
      <c r="K50" s="81">
        <f>'LA-Ref 0.5'!K7</f>
        <v>3.16</v>
      </c>
      <c r="L50" s="81">
        <f>'LA-Ref 0.5'!L7</f>
        <v>4316.1279999999997</v>
      </c>
      <c r="M50" s="5">
        <f t="shared" ref="M50:M61" si="14">$F$63</f>
        <v>69.33200014345104</v>
      </c>
      <c r="N50" s="6">
        <f>100*J50*K50*(L50*0.00000001^3)^2*M50/INDEX('Reference-aQuartz'!$H$4:$H$17,MATCH($B$44,'Reference-aQuartz'!$A$4:$A$17,0))</f>
        <v>0</v>
      </c>
      <c r="O50" s="32">
        <f t="shared" ref="O50:O61" si="15">P50</f>
        <v>0</v>
      </c>
      <c r="P50" s="31">
        <f t="shared" si="11"/>
        <v>0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0.5'!B8+0.35*B8</f>
        <v>3.67</v>
      </c>
      <c r="C51" s="18">
        <f t="shared" si="12"/>
        <v>3.6645102388198283</v>
      </c>
      <c r="D51" s="18">
        <f>INDEX(MAC!$H$3:$H$16,MATCH($A51,MAC!$A$3:$A$16,0))</f>
        <v>214.68463619455559</v>
      </c>
      <c r="E51" s="18">
        <f t="shared" si="13"/>
        <v>7.8671404745225892</v>
      </c>
      <c r="F51" s="21"/>
      <c r="G51" s="55"/>
      <c r="H51" s="78" t="s">
        <v>36</v>
      </c>
      <c r="I51" s="78">
        <v>81096</v>
      </c>
      <c r="J51" s="65">
        <v>4.9620000000000003E-5</v>
      </c>
      <c r="K51" s="81">
        <f>'LA-Ref 0.5'!K8</f>
        <v>3.29</v>
      </c>
      <c r="L51" s="81">
        <f>'LA-Ref 0.5'!L8</f>
        <v>347.22930000000002</v>
      </c>
      <c r="M51" s="5">
        <f t="shared" si="14"/>
        <v>69.33200014345104</v>
      </c>
      <c r="N51" s="6">
        <f>100*J51*K51*(L51*0.00000001^3)^2*M51/INDEX('Reference-aQuartz'!$H$4:$H$17,MATCH($B$44,'Reference-aQuartz'!$A$4:$A$17,0))</f>
        <v>1.6811521387464126</v>
      </c>
      <c r="O51" s="32">
        <f t="shared" si="15"/>
        <v>2.235932344532729</v>
      </c>
      <c r="P51" s="31">
        <f t="shared" si="11"/>
        <v>2.235932344532729</v>
      </c>
      <c r="Q51" s="69"/>
      <c r="R51" s="89" t="s">
        <v>80</v>
      </c>
      <c r="S51" s="69">
        <f>'LA-Ref 0.5'!P8</f>
        <v>10.194794468122005</v>
      </c>
      <c r="T51" s="69">
        <f>P51</f>
        <v>2.235932344532729</v>
      </c>
      <c r="U51" s="34">
        <f>(S51-T51)/S51</f>
        <v>0.78067901697045072</v>
      </c>
    </row>
    <row r="52" spans="1:22" x14ac:dyDescent="0.25">
      <c r="A52" s="1" t="s">
        <v>0</v>
      </c>
      <c r="B52" s="12">
        <f>0.65*'LA-Ref 0.5'!B9+0.35*B9</f>
        <v>1</v>
      </c>
      <c r="C52" s="18">
        <f t="shared" si="12"/>
        <v>0.99850415226698319</v>
      </c>
      <c r="D52" s="18">
        <f>INDEX(MAC!$H$3:$H$16,MATCH($A52,MAC!$A$3:$A$16,0))</f>
        <v>28.686693628423974</v>
      </c>
      <c r="E52" s="18">
        <f t="shared" si="13"/>
        <v>0.28643782702792148</v>
      </c>
      <c r="F52" s="21"/>
      <c r="G52" s="55"/>
      <c r="H52" s="78" t="s">
        <v>37</v>
      </c>
      <c r="I52" s="78">
        <v>1841</v>
      </c>
      <c r="J52" s="78">
        <v>0</v>
      </c>
      <c r="K52" s="81">
        <f>'LA-Ref 0.5'!K9</f>
        <v>3.04</v>
      </c>
      <c r="L52" s="81">
        <f>'LA-Ref 0.5'!L9</f>
        <v>3541.5859999999998</v>
      </c>
      <c r="M52" s="5">
        <f t="shared" si="14"/>
        <v>69.33200014345104</v>
      </c>
      <c r="N52" s="6">
        <f>100*J52*K52*(L52*0.00000001^3)^2*M52/INDEX('Reference-aQuartz'!$H$4:$H$17,MATCH($B$44,'Reference-aQuartz'!$A$4:$A$17,0))</f>
        <v>0</v>
      </c>
      <c r="O52" s="32">
        <f t="shared" si="15"/>
        <v>0</v>
      </c>
      <c r="P52" s="31">
        <f t="shared" si="11"/>
        <v>0</v>
      </c>
      <c r="Q52" s="69"/>
      <c r="R52" s="89" t="s">
        <v>37</v>
      </c>
      <c r="S52" s="69">
        <f>'LA-Ref 0.5'!P9</f>
        <v>3.6316399310689436</v>
      </c>
      <c r="T52" s="69">
        <f>P52</f>
        <v>0</v>
      </c>
      <c r="U52" s="34">
        <f t="shared" ref="U52:U53" si="16">(S52-T52)/S52</f>
        <v>1</v>
      </c>
    </row>
    <row r="53" spans="1:22" x14ac:dyDescent="0.25">
      <c r="A53" s="1" t="s">
        <v>1</v>
      </c>
      <c r="B53" s="12">
        <f>0.65*'LA-Ref 0.5'!B10+0.35*B10</f>
        <v>63.4</v>
      </c>
      <c r="C53" s="18">
        <f t="shared" si="12"/>
        <v>63.305163253726732</v>
      </c>
      <c r="D53" s="18">
        <f>INDEX(MAC!$H$3:$H$16,MATCH($A53,MAC!$A$3:$A$16,0))</f>
        <v>124.77929454143408</v>
      </c>
      <c r="E53" s="18">
        <f t="shared" si="13"/>
        <v>78.991736116303372</v>
      </c>
      <c r="F53" s="21"/>
      <c r="G53" s="55"/>
      <c r="H53" s="78" t="s">
        <v>38</v>
      </c>
      <c r="I53" s="78">
        <v>98836</v>
      </c>
      <c r="J53" s="65">
        <v>1.5319999999999999E-5</v>
      </c>
      <c r="K53" s="81">
        <f>'LA-Ref 0.5'!K10</f>
        <v>3.75</v>
      </c>
      <c r="L53" s="81">
        <f>'LA-Ref 0.5'!L10</f>
        <v>430.91660000000002</v>
      </c>
      <c r="M53" s="5">
        <f t="shared" si="14"/>
        <v>69.33200014345104</v>
      </c>
      <c r="N53" s="6">
        <f>100*J53*K53*(L53*0.00000001^3)^2*M53/INDEX('Reference-aQuartz'!$H$4:$H$17,MATCH($B$44,'Reference-aQuartz'!$A$4:$A$17,0))</f>
        <v>0.91116727200161363</v>
      </c>
      <c r="O53" s="32">
        <f t="shared" si="15"/>
        <v>1.2118524717621462</v>
      </c>
      <c r="P53" s="31">
        <f t="shared" si="11"/>
        <v>1.2118524717621462</v>
      </c>
      <c r="Q53" s="69"/>
      <c r="R53" s="89" t="s">
        <v>81</v>
      </c>
      <c r="S53" s="69">
        <f>'LA-Ref 0.5'!P10</f>
        <v>10.761354071127171</v>
      </c>
      <c r="T53" s="69">
        <f>P53</f>
        <v>1.2118524717621462</v>
      </c>
      <c r="U53" s="34">
        <f t="shared" si="16"/>
        <v>0.88738847697488554</v>
      </c>
    </row>
    <row r="54" spans="1:22" x14ac:dyDescent="0.25">
      <c r="A54" s="1" t="s">
        <v>56</v>
      </c>
      <c r="B54" s="12">
        <f>0.65*'LA-Ref 0.5'!B11+0.35*B11</f>
        <v>0.38</v>
      </c>
      <c r="C54" s="18">
        <f t="shared" si="12"/>
        <v>0.3794315778614536</v>
      </c>
      <c r="D54" s="18">
        <f>INDEX(MAC!$H$3:$H$16,MATCH($A54,MAC!$A$3:$A$16,0))</f>
        <v>122.32505440840811</v>
      </c>
      <c r="E54" s="18">
        <f t="shared" si="13"/>
        <v>0.46413988406170448</v>
      </c>
      <c r="F54" s="21"/>
      <c r="G54" s="55"/>
      <c r="H54" s="78" t="s">
        <v>40</v>
      </c>
      <c r="I54" s="78">
        <v>202220</v>
      </c>
      <c r="J54" s="78">
        <v>2.39405E-2</v>
      </c>
      <c r="K54" s="78">
        <v>2.2400000000000002</v>
      </c>
      <c r="L54" s="78">
        <v>54.86345</v>
      </c>
      <c r="M54" s="5">
        <f t="shared" si="14"/>
        <v>69.33200014345104</v>
      </c>
      <c r="N54" s="6">
        <f>100*J54*K54*(L54*0.00000001^3)^2*M54/INDEX('Reference-aQuartz'!$H$4:$H$17,MATCH($B$44,'Reference-aQuartz'!$A$4:$A$17,0))</f>
        <v>13.786978324438035</v>
      </c>
      <c r="O54" s="32">
        <f t="shared" si="15"/>
        <v>18.336681171502587</v>
      </c>
      <c r="P54" s="31">
        <f t="shared" si="11"/>
        <v>18.336681171502587</v>
      </c>
      <c r="Q54" s="69">
        <v>18.7</v>
      </c>
      <c r="R54" s="89" t="s">
        <v>84</v>
      </c>
      <c r="S54" s="69">
        <f>SUM(S49:S53)</f>
        <v>89.764475058382274</v>
      </c>
      <c r="T54" s="69">
        <f>SUM(T49:T53)</f>
        <v>4.152935122659013</v>
      </c>
    </row>
    <row r="55" spans="1:22" x14ac:dyDescent="0.25">
      <c r="A55" s="1" t="s">
        <v>57</v>
      </c>
      <c r="B55" s="12">
        <f>0.65*'LA-Ref 0.5'!B12+0.35*B12</f>
        <v>3.1400000000000006</v>
      </c>
      <c r="C55" s="18">
        <f t="shared" si="12"/>
        <v>3.135303038118328</v>
      </c>
      <c r="D55" s="18">
        <f>INDEX(MAC!$H$3:$H$16,MATCH($A55,MAC!$A$3:$A$16,0))</f>
        <v>44.261072668681777</v>
      </c>
      <c r="E55" s="18">
        <f t="shared" si="13"/>
        <v>1.3877187560849407</v>
      </c>
      <c r="F55" s="21"/>
      <c r="G55" s="55"/>
      <c r="H55" s="78" t="s">
        <v>25</v>
      </c>
      <c r="I55" s="78">
        <v>73446</v>
      </c>
      <c r="J55" s="65">
        <v>3.6470000000000001E-5</v>
      </c>
      <c r="K55" s="78">
        <v>2.71</v>
      </c>
      <c r="L55" s="78">
        <v>368.55270000000002</v>
      </c>
      <c r="M55" s="5">
        <f t="shared" si="14"/>
        <v>69.33200014345104</v>
      </c>
      <c r="N55" s="6">
        <f>100*J55*K55*(L55*0.00000001^3)^2*M55/INDEX('Reference-aQuartz'!$H$4:$H$17,MATCH($B$44,'Reference-aQuartz'!$A$4:$A$17,0))</f>
        <v>1.1466368069030282</v>
      </c>
      <c r="O55" s="32">
        <f t="shared" si="15"/>
        <v>1.5250269531810274</v>
      </c>
      <c r="P55" s="31">
        <f t="shared" si="11"/>
        <v>1.5250269531810274</v>
      </c>
      <c r="Q55" s="69">
        <v>1.4</v>
      </c>
    </row>
    <row r="56" spans="1:22" x14ac:dyDescent="0.25">
      <c r="A56" s="1" t="s">
        <v>14</v>
      </c>
      <c r="B56" s="12">
        <f>0.65*'LA-Ref 0.5'!B13+0.35*B13</f>
        <v>0.13</v>
      </c>
      <c r="C56" s="18">
        <f t="shared" si="12"/>
        <v>0.12980553979470782</v>
      </c>
      <c r="D56" s="18">
        <f>INDEX(MAC!$H$3:$H$16,MATCH($A56,MAC!$A$3:$A$16,0))</f>
        <v>97.328178229861322</v>
      </c>
      <c r="E56" s="18">
        <f t="shared" si="13"/>
        <v>0.12633736712362681</v>
      </c>
      <c r="F56" s="21"/>
      <c r="G56" s="55"/>
      <c r="H56" s="78" t="s">
        <v>21</v>
      </c>
      <c r="I56" s="78">
        <v>62405</v>
      </c>
      <c r="J56" s="65">
        <v>5.499E-5</v>
      </c>
      <c r="K56" s="78">
        <v>2.65</v>
      </c>
      <c r="L56" s="78">
        <v>113.1572</v>
      </c>
      <c r="M56" s="5">
        <f t="shared" si="14"/>
        <v>69.33200014345104</v>
      </c>
      <c r="N56" s="6">
        <f>100*J56*K56*(L56*0.00000001^3)^2*M56/INDEX('Reference-aQuartz'!$H$4:$H$17,MATCH($B$44,'Reference-aQuartz'!$A$4:$A$17,0))</f>
        <v>0.15937331594637491</v>
      </c>
      <c r="O56" s="32">
        <f t="shared" si="15"/>
        <v>0.21196651020867865</v>
      </c>
      <c r="P56" s="31">
        <f t="shared" si="11"/>
        <v>0.21196651020867865</v>
      </c>
      <c r="Q56" s="69"/>
    </row>
    <row r="57" spans="1:22" x14ac:dyDescent="0.25">
      <c r="A57" s="1" t="s">
        <v>58</v>
      </c>
      <c r="B57" s="12">
        <f>0.65*'LA-Ref 0.5'!B14+0.35*B14</f>
        <v>0.33</v>
      </c>
      <c r="C57" s="18">
        <f t="shared" si="12"/>
        <v>0.32950637024810447</v>
      </c>
      <c r="D57" s="18">
        <f>INDEX(MAC!$H$3:$H$16,MATCH($A57,MAC!$A$3:$A$16,0))</f>
        <v>19.10926020222594</v>
      </c>
      <c r="E57" s="18">
        <f t="shared" si="13"/>
        <v>6.2966229673620283E-2</v>
      </c>
      <c r="F57" s="21"/>
      <c r="G57" s="55"/>
      <c r="H57" s="78" t="s">
        <v>87</v>
      </c>
      <c r="I57" s="78">
        <v>155395</v>
      </c>
      <c r="J57" s="65">
        <v>5.7300000000000002E-6</v>
      </c>
      <c r="K57" s="78">
        <v>1.79</v>
      </c>
      <c r="L57" s="78">
        <v>2332.0529999999999</v>
      </c>
      <c r="M57" s="5">
        <f t="shared" si="14"/>
        <v>69.33200014345104</v>
      </c>
      <c r="N57" s="6">
        <f>100*J57*K57*(L57*0.00000001^3)^2*M57/INDEX('Reference-aQuartz'!$H$4:$H$17,MATCH($B$44,'Reference-aQuartz'!$A$4:$A$17,0))</f>
        <v>4.7643769568789418</v>
      </c>
      <c r="O57" s="32">
        <f t="shared" si="15"/>
        <v>6.3366213526489927</v>
      </c>
      <c r="P57" s="31">
        <f t="shared" si="11"/>
        <v>6.3366213526489927</v>
      </c>
      <c r="Q57" s="69"/>
    </row>
    <row r="58" spans="1:22" x14ac:dyDescent="0.25">
      <c r="A58" s="1" t="s">
        <v>59</v>
      </c>
      <c r="B58" s="12">
        <f>0.65*'LA-Ref 0.5'!B15+0.35*B15</f>
        <v>0.19</v>
      </c>
      <c r="C58" s="18">
        <f t="shared" si="12"/>
        <v>0.1897157889307268</v>
      </c>
      <c r="D58" s="18">
        <f>INDEX(MAC!$H$3:$H$16,MATCH($A58,MAC!$A$3:$A$16,0))</f>
        <v>124.47726788956365</v>
      </c>
      <c r="E58" s="18">
        <f t="shared" si="13"/>
        <v>0.23615303081609995</v>
      </c>
      <c r="F58" s="21"/>
      <c r="G58" s="55"/>
      <c r="H58" s="78" t="s">
        <v>88</v>
      </c>
      <c r="I58" s="78">
        <v>81963</v>
      </c>
      <c r="J58" s="82">
        <v>0</v>
      </c>
      <c r="K58" s="78">
        <v>2.14</v>
      </c>
      <c r="L58" s="78">
        <v>182.05549999999999</v>
      </c>
      <c r="M58" s="5">
        <f t="shared" si="14"/>
        <v>69.33200014345104</v>
      </c>
      <c r="N58" s="6">
        <f>100*J58*K58*(L58*0.00000001^3)^2*M58/INDEX('Reference-aQuartz'!$H$4:$H$17,MATCH($B$44,'Reference-aQuartz'!$A$4:$A$17,0))</f>
        <v>0</v>
      </c>
      <c r="O58" s="32">
        <f t="shared" si="15"/>
        <v>0</v>
      </c>
      <c r="P58" s="31">
        <f t="shared" si="11"/>
        <v>0</v>
      </c>
      <c r="Q58" s="69"/>
    </row>
    <row r="59" spans="1:22" x14ac:dyDescent="0.25">
      <c r="A59" s="1" t="s">
        <v>60</v>
      </c>
      <c r="B59" s="12">
        <f>0.65*'LA-Ref 0.5'!B16+0.35*B16</f>
        <v>0.26</v>
      </c>
      <c r="C59" s="18">
        <f t="shared" si="12"/>
        <v>0.25961107958941565</v>
      </c>
      <c r="D59" s="18">
        <f>INDEX(MAC!$H$3:$H$16,MATCH($A59,MAC!$A$3:$A$16,0))</f>
        <v>39.431437267071992</v>
      </c>
      <c r="E59" s="18">
        <f t="shared" si="13"/>
        <v>0.10236837998666877</v>
      </c>
      <c r="F59" s="21"/>
      <c r="G59" s="55"/>
      <c r="H59" s="78" t="s">
        <v>89</v>
      </c>
      <c r="I59" s="78">
        <v>59327</v>
      </c>
      <c r="J59" s="65">
        <v>8.7009999999999995E-5</v>
      </c>
      <c r="K59" s="78">
        <v>2.16</v>
      </c>
      <c r="L59" s="78">
        <v>436.56740000000002</v>
      </c>
      <c r="M59" s="5">
        <f t="shared" si="14"/>
        <v>69.33200014345104</v>
      </c>
      <c r="N59" s="6">
        <f>100*J59*K59*(L59*0.00000001^3)^2*M59/INDEX('Reference-aQuartz'!$H$4:$H$17,MATCH($B$44,'Reference-aQuartz'!$A$4:$A$17,0))</f>
        <v>3.0594767300700472</v>
      </c>
      <c r="O59" s="32">
        <f t="shared" si="15"/>
        <v>4.0691040509931629</v>
      </c>
      <c r="P59" s="31">
        <f t="shared" si="11"/>
        <v>4.0691040509931629</v>
      </c>
      <c r="Q59" s="69"/>
    </row>
    <row r="60" spans="1:22" x14ac:dyDescent="0.25">
      <c r="A60" s="19" t="s">
        <v>23</v>
      </c>
      <c r="B60" s="12">
        <f>0.65*'LA-Ref 0.5'!B17+0.35*B17</f>
        <v>3.5000000000000003E-2</v>
      </c>
      <c r="C60" s="18">
        <f t="shared" si="12"/>
        <v>3.4947645329344419E-2</v>
      </c>
      <c r="D60" s="18">
        <f>INDEX(MAC!$H$3:$H$16,MATCH($A60,MAC!$A$3:$A$16,0))</f>
        <v>197.69998688868492</v>
      </c>
      <c r="E60" s="18">
        <f t="shared" si="13"/>
        <v>6.9091490234018019E-2</v>
      </c>
      <c r="F60" s="21"/>
      <c r="G60" s="55"/>
      <c r="H60" s="78" t="s">
        <v>90</v>
      </c>
      <c r="I60" s="78">
        <v>2105252</v>
      </c>
      <c r="J60" s="65">
        <v>8.8999999999999995E-7</v>
      </c>
      <c r="K60" s="78">
        <v>1.82</v>
      </c>
      <c r="L60" s="78">
        <v>1412.6849999999999</v>
      </c>
      <c r="M60" s="5">
        <f t="shared" si="14"/>
        <v>69.33200014345104</v>
      </c>
      <c r="N60" s="6">
        <f>100*J60*K60*(L60*0.00000001^3)^2*M60/INDEX('Reference-aQuartz'!$H$4:$H$17,MATCH($B$44,'Reference-aQuartz'!$A$4:$A$17,0))</f>
        <v>0.27610463178557126</v>
      </c>
      <c r="O60" s="32">
        <f t="shared" si="15"/>
        <v>0.36721916027480977</v>
      </c>
      <c r="P60" s="31">
        <f t="shared" si="11"/>
        <v>0.36721916027480977</v>
      </c>
      <c r="Q60" s="69"/>
    </row>
    <row r="61" spans="1:22" x14ac:dyDescent="0.25">
      <c r="A61" s="1" t="s">
        <v>66</v>
      </c>
      <c r="B61" s="12">
        <f>0.65*'LA-Ref 0.5'!B18+0.35*B18</f>
        <v>3.21</v>
      </c>
      <c r="C61" s="18">
        <f>B61</f>
        <v>3.21</v>
      </c>
      <c r="D61" s="18">
        <f>INDEX(MAC!$H$3:$H$16,MATCH($A61,MAC!$A$3:$A$16,0))</f>
        <v>9.592279079279237</v>
      </c>
      <c r="E61" s="18">
        <f t="shared" si="13"/>
        <v>0.30791215844486347</v>
      </c>
      <c r="F61" s="21"/>
      <c r="G61" s="55"/>
      <c r="H61" s="21"/>
      <c r="I61" s="21"/>
      <c r="J61" s="21"/>
      <c r="K61" s="21"/>
      <c r="L61" s="21"/>
      <c r="M61" s="5">
        <f t="shared" si="14"/>
        <v>69.33200014345104</v>
      </c>
      <c r="N61" s="6">
        <f>100*J61*K61*(L61*0.00000001^3)^2*M61/INDEX('Reference-aQuartz'!$H$4:$H$17,MATCH($B$44,'Reference-aQuartz'!$A$4:$A$17,0))</f>
        <v>0</v>
      </c>
      <c r="O61" s="32">
        <f t="shared" si="15"/>
        <v>0</v>
      </c>
      <c r="P61" s="31">
        <f t="shared" si="11"/>
        <v>0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107" t="s">
        <v>7</v>
      </c>
      <c r="I62" s="108"/>
      <c r="J62" s="108"/>
      <c r="K62" s="108"/>
      <c r="L62" s="108"/>
      <c r="M62" s="109"/>
      <c r="N62" s="6">
        <f>SUM(N49:N61)</f>
        <v>26.315454377043814</v>
      </c>
      <c r="O62" s="31">
        <f t="shared" ref="O62:P62" si="17">SUM(O49:O61)</f>
        <v>34.999554321468267</v>
      </c>
      <c r="P62" s="31">
        <f t="shared" si="17"/>
        <v>34.999554321468267</v>
      </c>
    </row>
    <row r="63" spans="1:22" x14ac:dyDescent="0.25">
      <c r="A63" s="78" t="s">
        <v>7</v>
      </c>
      <c r="B63" s="40">
        <f>SUM(B49:B60)</f>
        <v>96.934999999999988</v>
      </c>
      <c r="C63" s="40">
        <f>SUM(C49:C61)</f>
        <v>100</v>
      </c>
      <c r="D63" s="78" t="s">
        <v>29</v>
      </c>
      <c r="E63" s="56">
        <f>SUM(E49:E61)</f>
        <v>98.428726733051704</v>
      </c>
      <c r="F63" s="41">
        <f>E63*(1-C45)+D62*C45</f>
        <v>69.33200014345104</v>
      </c>
      <c r="H63" s="107" t="s">
        <v>28</v>
      </c>
      <c r="I63" s="108"/>
      <c r="J63" s="108"/>
      <c r="K63" s="108"/>
      <c r="L63" s="108"/>
      <c r="M63" s="109"/>
      <c r="N63" s="6">
        <f>100-N62</f>
        <v>73.684545622956193</v>
      </c>
      <c r="O63" s="31">
        <f>100-O62</f>
        <v>65.000445678531733</v>
      </c>
      <c r="P63" s="31">
        <f>100-P62</f>
        <v>65.000445678531733</v>
      </c>
    </row>
  </sheetData>
  <mergeCells count="14">
    <mergeCell ref="H62:M62"/>
    <mergeCell ref="H63:M63"/>
    <mergeCell ref="H40:M40"/>
    <mergeCell ref="H41:M41"/>
    <mergeCell ref="H18:M18"/>
    <mergeCell ref="H19:M19"/>
    <mergeCell ref="R27:R28"/>
    <mergeCell ref="S27:S28"/>
    <mergeCell ref="T27:T28"/>
    <mergeCell ref="U49:U50"/>
    <mergeCell ref="U27:U28"/>
    <mergeCell ref="R49:R50"/>
    <mergeCell ref="S49:S50"/>
    <mergeCell ref="T49:T5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29A83-E30D-4D5B-B8D8-06393CA72D4E}">
  <sheetPr>
    <tabColor theme="9"/>
  </sheetPr>
  <dimension ref="A1:AV63"/>
  <sheetViews>
    <sheetView zoomScaleNormal="100" workbookViewId="0">
      <selection activeCell="K44" sqref="K44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5.710937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42" t="s">
        <v>32</v>
      </c>
      <c r="B1" s="43">
        <v>44936</v>
      </c>
      <c r="H1" s="38" t="s">
        <v>20</v>
      </c>
      <c r="I1" s="38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>
        <v>7.85</v>
      </c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91" t="s">
        <v>8</v>
      </c>
      <c r="B4" s="91" t="s">
        <v>30</v>
      </c>
      <c r="C4" s="91" t="s">
        <v>31</v>
      </c>
      <c r="D4" s="91" t="s">
        <v>68</v>
      </c>
      <c r="E4" s="91" t="s">
        <v>69</v>
      </c>
      <c r="H4" s="91" t="s">
        <v>9</v>
      </c>
      <c r="I4" s="91" t="s">
        <v>86</v>
      </c>
      <c r="J4" s="91" t="s">
        <v>2</v>
      </c>
      <c r="K4" s="91" t="s">
        <v>3</v>
      </c>
      <c r="L4" s="91" t="s">
        <v>4</v>
      </c>
      <c r="M4" s="91" t="s">
        <v>5</v>
      </c>
      <c r="N4" s="5" t="s">
        <v>15</v>
      </c>
      <c r="O4" s="5" t="s">
        <v>111</v>
      </c>
      <c r="P4" s="5" t="s">
        <v>110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91" t="s">
        <v>11</v>
      </c>
      <c r="B5" s="91" t="s">
        <v>93</v>
      </c>
      <c r="C5" s="91" t="s">
        <v>93</v>
      </c>
      <c r="D5" s="91" t="s">
        <v>13</v>
      </c>
      <c r="E5" s="91" t="s">
        <v>13</v>
      </c>
      <c r="H5" s="91" t="s">
        <v>11</v>
      </c>
      <c r="I5" s="91" t="s">
        <v>11</v>
      </c>
      <c r="J5" s="91" t="s">
        <v>11</v>
      </c>
      <c r="K5" s="91" t="s">
        <v>16</v>
      </c>
      <c r="L5" s="91" t="s">
        <v>19</v>
      </c>
      <c r="M5" s="91" t="s">
        <v>13</v>
      </c>
      <c r="N5" s="5" t="s">
        <v>12</v>
      </c>
      <c r="O5" s="5"/>
      <c r="P5" s="5" t="s">
        <v>12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19.2</v>
      </c>
      <c r="C6" s="18">
        <f t="shared" ref="C6:C17" si="0">B6*(100-B$18)/B$19</f>
        <v>19.171279723526077</v>
      </c>
      <c r="D6" s="18">
        <f>INDEX(MAC!$H$3:$H$16,MATCH('LA-Ref 0.6'!$A6,MAC!$A$3:$A$16,0))</f>
        <v>35.900659077291785</v>
      </c>
      <c r="E6" s="18">
        <f>C6*D6/100</f>
        <v>6.8826157742970633</v>
      </c>
      <c r="F6" s="39"/>
      <c r="G6" s="39"/>
      <c r="H6" s="91" t="s">
        <v>34</v>
      </c>
      <c r="I6" s="91"/>
      <c r="J6" s="91">
        <f>0.00002217</f>
        <v>2.2169999999999999E-5</v>
      </c>
      <c r="K6" s="91">
        <v>3.15</v>
      </c>
      <c r="L6" s="91">
        <v>2166.0790000000002</v>
      </c>
      <c r="M6" s="5">
        <f t="shared" ref="M6:M17" si="1">$E$19</f>
        <v>98.428726733051704</v>
      </c>
      <c r="N6" s="6">
        <f>100*J6*K6*(L6*0.00000001^3)^2*M6/INDEX('Reference-aQuartz'!$H$4:$H$17,MATCH($B$1,'Reference-aQuartz'!$A$4:$A$17,0))</f>
        <v>42.970077038272549</v>
      </c>
      <c r="O6" s="80">
        <f>J6*K6*(L6*0.00000001^3)^2</f>
        <v>3.2766105913733748E-46</v>
      </c>
      <c r="P6" s="32">
        <f>100*O6/SUM($O$6:$O$17)</f>
        <v>48.01147945212206</v>
      </c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5.2</v>
      </c>
      <c r="C7" s="18">
        <f t="shared" si="0"/>
        <v>5.1922215917883126</v>
      </c>
      <c r="D7" s="18">
        <f>INDEX(MAC!$H$3:$H$16,MATCH('LA-Ref 0.6'!$A7,MAC!$A$3:$A$16,0))</f>
        <v>31.664851266660783</v>
      </c>
      <c r="E7" s="18">
        <f t="shared" ref="E7:E18" si="2">C7*D7/100</f>
        <v>1.6441092444752161</v>
      </c>
      <c r="F7" s="39"/>
      <c r="G7" s="39"/>
      <c r="H7" s="91" t="s">
        <v>35</v>
      </c>
      <c r="I7" s="91">
        <v>94742</v>
      </c>
      <c r="J7" s="91">
        <f>0.00000199</f>
        <v>1.99E-6</v>
      </c>
      <c r="K7" s="91">
        <v>3.16</v>
      </c>
      <c r="L7" s="91">
        <v>4316.1279999999997</v>
      </c>
      <c r="M7" s="5">
        <f t="shared" si="1"/>
        <v>98.428726733051704</v>
      </c>
      <c r="N7" s="6">
        <f>100*J7*K7*(L7*0.00000001^3)^2*M7/INDEX('Reference-aQuartz'!$H$4:$H$17,MATCH($B$1,'Reference-aQuartz'!$A$4:$A$17,0))</f>
        <v>15.362789929122584</v>
      </c>
      <c r="O7" s="80">
        <f t="shared" ref="O7:O17" si="3">J7*K7*(L7*0.00000001^3)^2</f>
        <v>1.1714635780143559E-46</v>
      </c>
      <c r="P7" s="32">
        <f t="shared" ref="P7:P17" si="4">100*O7/SUM($O$6:$O$17)</f>
        <v>17.165207135942076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3.67</v>
      </c>
      <c r="C8" s="18">
        <f t="shared" si="0"/>
        <v>3.6645102388198283</v>
      </c>
      <c r="D8" s="18">
        <f>INDEX(MAC!$H$3:$H$16,MATCH('LA-Ref 0.6'!$A8,MAC!$A$3:$A$16,0))</f>
        <v>214.68463619455559</v>
      </c>
      <c r="E8" s="18">
        <f t="shared" si="2"/>
        <v>7.8671404745225892</v>
      </c>
      <c r="F8" s="39"/>
      <c r="G8" s="39"/>
      <c r="H8" s="91" t="s">
        <v>36</v>
      </c>
      <c r="I8" s="91">
        <v>81096</v>
      </c>
      <c r="J8" s="91">
        <v>1.7540000000000001E-4</v>
      </c>
      <c r="K8" s="91">
        <v>3.29</v>
      </c>
      <c r="L8" s="91">
        <v>347.22930000000002</v>
      </c>
      <c r="M8" s="5">
        <f t="shared" si="1"/>
        <v>98.428726733051704</v>
      </c>
      <c r="N8" s="6">
        <f>100*J8*K8*(L8*0.00000001^3)^2*M8/INDEX('Reference-aQuartz'!$H$4:$H$17,MATCH($B$1,'Reference-aQuartz'!$A$4:$A$17,0))</f>
        <v>9.1242992026815184</v>
      </c>
      <c r="O8" s="80">
        <f t="shared" si="3"/>
        <v>6.9575801271516139E-47</v>
      </c>
      <c r="P8" s="32">
        <f t="shared" si="4"/>
        <v>10.194794468122005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1</v>
      </c>
      <c r="C9" s="18">
        <f t="shared" si="0"/>
        <v>0.99850415226698319</v>
      </c>
      <c r="D9" s="18">
        <f>INDEX(MAC!$H$3:$H$16,MATCH('LA-Ref 0.6'!$A9,MAC!$A$3:$A$16,0))</f>
        <v>28.686693628423974</v>
      </c>
      <c r="E9" s="18">
        <f t="shared" si="2"/>
        <v>0.28643782702792148</v>
      </c>
      <c r="F9" s="39"/>
      <c r="G9" s="39"/>
      <c r="H9" s="91" t="s">
        <v>37</v>
      </c>
      <c r="I9" s="91">
        <v>1841</v>
      </c>
      <c r="J9" s="91">
        <f>0.00000065</f>
        <v>6.5000000000000002E-7</v>
      </c>
      <c r="K9" s="91">
        <v>3.04</v>
      </c>
      <c r="L9" s="91">
        <v>3541.5859999999998</v>
      </c>
      <c r="M9" s="5">
        <f t="shared" si="1"/>
        <v>98.428726733051704</v>
      </c>
      <c r="N9" s="6">
        <f>100*J9*K9*(L9*0.00000001^3)^2*M9/INDEX('Reference-aQuartz'!$H$4:$H$17,MATCH($B$1,'Reference-aQuartz'!$A$4:$A$17,0))</f>
        <v>3.2503028316158669</v>
      </c>
      <c r="O9" s="80">
        <f t="shared" si="3"/>
        <v>2.4784634837302495E-47</v>
      </c>
      <c r="P9" s="32">
        <f t="shared" si="4"/>
        <v>3.6316399310689436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63.4</v>
      </c>
      <c r="C10" s="18">
        <f t="shared" si="0"/>
        <v>63.305163253726732</v>
      </c>
      <c r="D10" s="18">
        <f>INDEX(MAC!$H$3:$H$16,MATCH('LA-Ref 0.6'!$A10,MAC!$A$3:$A$16,0))</f>
        <v>124.77929454143408</v>
      </c>
      <c r="E10" s="18">
        <f t="shared" si="2"/>
        <v>78.991736116303372</v>
      </c>
      <c r="F10" s="39"/>
      <c r="G10" s="39"/>
      <c r="H10" s="91" t="s">
        <v>38</v>
      </c>
      <c r="I10" s="91">
        <v>98836</v>
      </c>
      <c r="J10" s="91">
        <f>0.00010547</f>
        <v>1.0547E-4</v>
      </c>
      <c r="K10" s="91">
        <v>3.75</v>
      </c>
      <c r="L10" s="91">
        <v>430.91660000000002</v>
      </c>
      <c r="M10" s="5">
        <f t="shared" si="1"/>
        <v>98.428726733051704</v>
      </c>
      <c r="N10" s="6">
        <f>100*J10*K10*(L10*0.00000001^3)^2*M10/INDEX('Reference-aQuartz'!$H$4:$H$17,MATCH($B$1,'Reference-aQuartz'!$A$4:$A$17,0))</f>
        <v>9.631367721829788</v>
      </c>
      <c r="O10" s="80">
        <f t="shared" si="3"/>
        <v>7.3442366553475945E-47</v>
      </c>
      <c r="P10" s="32">
        <f t="shared" si="4"/>
        <v>10.761354071127171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0.38</v>
      </c>
      <c r="C11" s="18">
        <f t="shared" si="0"/>
        <v>0.3794315778614536</v>
      </c>
      <c r="D11" s="18">
        <f>INDEX(MAC!$H$3:$H$16,MATCH('LA-Ref 0.6'!$A11,MAC!$A$3:$A$16,0))</f>
        <v>122.32505440840811</v>
      </c>
      <c r="E11" s="18">
        <f t="shared" si="2"/>
        <v>0.46413988406170448</v>
      </c>
      <c r="F11" s="39"/>
      <c r="G11" s="39"/>
      <c r="H11" s="91" t="s">
        <v>39</v>
      </c>
      <c r="I11" s="91">
        <v>79529</v>
      </c>
      <c r="J11" s="91">
        <f>0.00000606</f>
        <v>6.0599999999999996E-6</v>
      </c>
      <c r="K11" s="91">
        <v>2.72</v>
      </c>
      <c r="L11" s="91">
        <v>1062.077</v>
      </c>
      <c r="M11" s="5">
        <f t="shared" si="1"/>
        <v>98.428726733051704</v>
      </c>
      <c r="N11" s="6">
        <f>100*J11*K11*(L11*0.00000001^3)^2*M11/INDEX('Reference-aQuartz'!$H$4:$H$17,MATCH($B$1,'Reference-aQuartz'!$A$4:$A$17,0))</f>
        <v>2.4383432261427762</v>
      </c>
      <c r="O11" s="80">
        <f t="shared" si="3"/>
        <v>1.8593174112922499E-47</v>
      </c>
      <c r="P11" s="32">
        <f t="shared" si="4"/>
        <v>2.7244183340631318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3.14</v>
      </c>
      <c r="C12" s="18">
        <f t="shared" si="0"/>
        <v>3.1353030381183276</v>
      </c>
      <c r="D12" s="18">
        <f>INDEX(MAC!$H$3:$H$16,MATCH('LA-Ref 0.6'!$A12,MAC!$A$3:$A$16,0))</f>
        <v>44.261072668681777</v>
      </c>
      <c r="E12" s="18">
        <f t="shared" si="2"/>
        <v>1.3877187560849404</v>
      </c>
      <c r="F12" s="39"/>
      <c r="G12" s="39"/>
      <c r="H12" s="91" t="s">
        <v>25</v>
      </c>
      <c r="I12" s="91">
        <v>73446</v>
      </c>
      <c r="J12" s="65">
        <f>0.00008299</f>
        <v>8.2990000000000003E-5</v>
      </c>
      <c r="K12" s="91">
        <v>2.72</v>
      </c>
      <c r="L12" s="91">
        <v>367.07459999999998</v>
      </c>
      <c r="M12" s="5">
        <f t="shared" si="1"/>
        <v>98.428726733051704</v>
      </c>
      <c r="N12" s="6">
        <f>100*J12*K12*(L12*0.00000001^3)^2*M12/INDEX('Reference-aQuartz'!$H$4:$H$17,MATCH($B$1,'Reference-aQuartz'!$A$4:$A$17,0))</f>
        <v>3.9888218358739502</v>
      </c>
      <c r="O12" s="80">
        <f t="shared" si="3"/>
        <v>3.0416086670929076E-47</v>
      </c>
      <c r="P12" s="32">
        <f t="shared" si="4"/>
        <v>4.4568046140728264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0.13</v>
      </c>
      <c r="C13" s="18">
        <f t="shared" si="0"/>
        <v>0.12980553979470782</v>
      </c>
      <c r="D13" s="18">
        <f>INDEX(MAC!$H$3:$H$16,MATCH('LA-Ref 0.6'!$A13,MAC!$A$3:$A$16,0))</f>
        <v>97.328178229861322</v>
      </c>
      <c r="E13" s="18">
        <f t="shared" si="2"/>
        <v>0.12633736712362681</v>
      </c>
      <c r="F13" s="39"/>
      <c r="G13" s="39"/>
      <c r="H13" s="91" t="s">
        <v>44</v>
      </c>
      <c r="I13" s="91">
        <v>15876</v>
      </c>
      <c r="J13" s="91">
        <f>0.00006886</f>
        <v>6.8860000000000001E-5</v>
      </c>
      <c r="K13" s="91">
        <v>2.96</v>
      </c>
      <c r="L13" s="91">
        <v>305.89389999999997</v>
      </c>
      <c r="M13" s="5">
        <f t="shared" si="1"/>
        <v>98.428726733051704</v>
      </c>
      <c r="N13" s="6">
        <f>100*J13*K13*(L13*0.00000001^3)^2*M13/INDEX('Reference-aQuartz'!$H$4:$H$17,MATCH($B$1,'Reference-aQuartz'!$A$4:$A$17,0))</f>
        <v>2.5011610915895699</v>
      </c>
      <c r="O13" s="80">
        <f t="shared" si="3"/>
        <v>1.9072181127657664E-47</v>
      </c>
      <c r="P13" s="32">
        <f t="shared" si="4"/>
        <v>2.7946062151190261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0.33</v>
      </c>
      <c r="C14" s="18">
        <f t="shared" si="0"/>
        <v>0.32950637024810447</v>
      </c>
      <c r="D14" s="18">
        <f>INDEX(MAC!$H$3:$H$16,MATCH('LA-Ref 0.6'!$A14,MAC!$A$3:$A$16,0))</f>
        <v>19.10926020222594</v>
      </c>
      <c r="E14" s="18">
        <f t="shared" si="2"/>
        <v>6.2966229673620283E-2</v>
      </c>
      <c r="F14" s="39"/>
      <c r="G14" s="39"/>
      <c r="H14" s="91" t="s">
        <v>21</v>
      </c>
      <c r="I14" s="91">
        <v>174</v>
      </c>
      <c r="J14" s="91">
        <f>0.00005232</f>
        <v>5.2320000000000001E-5</v>
      </c>
      <c r="K14" s="91">
        <v>2.65</v>
      </c>
      <c r="L14" s="91">
        <v>113.0617</v>
      </c>
      <c r="M14" s="5">
        <f t="shared" si="1"/>
        <v>98.428726733051704</v>
      </c>
      <c r="N14" s="6">
        <f>100*J14*K14*(L14*0.00000001^3)^2*M14/INDEX('Reference-aQuartz'!$H$4:$H$17,MATCH($B$1,'Reference-aQuartz'!$A$4:$A$17,0))</f>
        <v>0.23242665566867277</v>
      </c>
      <c r="O14" s="80">
        <f t="shared" si="3"/>
        <v>1.7723301752592851E-48</v>
      </c>
      <c r="P14" s="32">
        <f t="shared" si="4"/>
        <v>0.25969577836275964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0.19</v>
      </c>
      <c r="C15" s="18">
        <f t="shared" si="0"/>
        <v>0.1897157889307268</v>
      </c>
      <c r="D15" s="18">
        <f>INDEX(MAC!$H$3:$H$16,MATCH('LA-Ref 0.6'!$A15,MAC!$A$3:$A$16,0))</f>
        <v>124.47726788956365</v>
      </c>
      <c r="E15" s="18">
        <f t="shared" si="2"/>
        <v>0.23615303081609995</v>
      </c>
      <c r="F15" s="39"/>
      <c r="G15" s="39"/>
      <c r="H15" s="91"/>
      <c r="I15" s="91"/>
      <c r="J15" s="91"/>
      <c r="K15" s="91"/>
      <c r="L15" s="91"/>
      <c r="M15" s="5">
        <f t="shared" si="1"/>
        <v>98.428726733051704</v>
      </c>
      <c r="N15" s="6">
        <f>100*J15*K15*(L15*0.00000001^3)^2*M15/INDEX('Reference-aQuartz'!$H$4:$H$17,MATCH($B$1,'Reference-aQuartz'!$A$4:$A$17,0))</f>
        <v>0</v>
      </c>
      <c r="O15" s="80">
        <f t="shared" si="3"/>
        <v>0</v>
      </c>
      <c r="P15" s="32">
        <f t="shared" si="4"/>
        <v>0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0.26</v>
      </c>
      <c r="C16" s="18">
        <f t="shared" si="0"/>
        <v>0.25961107958941565</v>
      </c>
      <c r="D16" s="18">
        <f>INDEX(MAC!$H$3:$H$16,MATCH('LA-Ref 0.6'!$A16,MAC!$A$3:$A$16,0))</f>
        <v>39.431437267071992</v>
      </c>
      <c r="E16" s="18">
        <f t="shared" si="2"/>
        <v>0.10236837998666877</v>
      </c>
      <c r="F16" s="39"/>
      <c r="G16" s="39"/>
      <c r="H16" s="91"/>
      <c r="I16" s="91"/>
      <c r="J16" s="91"/>
      <c r="K16" s="91"/>
      <c r="L16" s="91"/>
      <c r="M16" s="5">
        <f t="shared" si="1"/>
        <v>98.428726733051704</v>
      </c>
      <c r="N16" s="6">
        <f>100*J16*K16*(L16*0.00000001^3)^2*M16/INDEX('Reference-aQuartz'!$H$4:$H$17,MATCH($B$1,'Reference-aQuartz'!$A$4:$A$17,0))</f>
        <v>0</v>
      </c>
      <c r="O16" s="80">
        <f t="shared" si="3"/>
        <v>0</v>
      </c>
      <c r="P16" s="32">
        <f t="shared" si="4"/>
        <v>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3.5000000000000003E-2</v>
      </c>
      <c r="C17" s="18">
        <f t="shared" si="0"/>
        <v>3.4947645329344419E-2</v>
      </c>
      <c r="D17" s="18">
        <f>INDEX(MAC!$H$3:$H$16,MATCH('LA-Ref 0.6'!$A17,MAC!$A$3:$A$16,0))</f>
        <v>197.69998688868492</v>
      </c>
      <c r="E17" s="18">
        <f t="shared" si="2"/>
        <v>6.9091490234018019E-2</v>
      </c>
      <c r="H17" s="21"/>
      <c r="I17" s="21"/>
      <c r="J17" s="21"/>
      <c r="K17" s="21"/>
      <c r="L17" s="21"/>
      <c r="M17" s="5">
        <f t="shared" si="1"/>
        <v>98.428726733051704</v>
      </c>
      <c r="N17" s="37">
        <f>100*J17*K17*(L17*0.00000001^3)^2*M17/INDEX('Reference-aQuartz'!$H$4:$H$17,MATCH($B$1,'Reference-aQuartz'!$A$4:$A$17,0))</f>
        <v>0</v>
      </c>
      <c r="O17" s="80">
        <f t="shared" si="3"/>
        <v>0</v>
      </c>
      <c r="P17" s="32">
        <f t="shared" si="4"/>
        <v>0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3.21</v>
      </c>
      <c r="C18" s="18">
        <f>B18</f>
        <v>3.21</v>
      </c>
      <c r="D18" s="18">
        <f>INDEX(MAC!$H$3:$H$16,MATCH('LA-Ref 0.6'!$A18,MAC!$A$3:$A$16,0))</f>
        <v>9.592279079279237</v>
      </c>
      <c r="E18" s="18">
        <f t="shared" si="2"/>
        <v>0.30791215844486347</v>
      </c>
      <c r="H18" s="104" t="s">
        <v>7</v>
      </c>
      <c r="I18" s="105"/>
      <c r="J18" s="105"/>
      <c r="K18" s="105"/>
      <c r="L18" s="105"/>
      <c r="M18" s="106"/>
      <c r="N18" s="37">
        <f>SUM(N6:N17)</f>
        <v>89.499589532797273</v>
      </c>
      <c r="O18" s="79"/>
      <c r="P18" s="32">
        <f>SUM(P6:P17)</f>
        <v>100.00000000000001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91" t="s">
        <v>7</v>
      </c>
      <c r="B19" s="40">
        <f>SUM(B6:B17)</f>
        <v>96.934999999999988</v>
      </c>
      <c r="C19" s="40">
        <f>SUM(C6:C18)</f>
        <v>100</v>
      </c>
      <c r="D19" s="91" t="s">
        <v>29</v>
      </c>
      <c r="E19" s="41">
        <f>SUM(E6:E18)</f>
        <v>98.428726733051704</v>
      </c>
      <c r="H19" s="107" t="s">
        <v>28</v>
      </c>
      <c r="I19" s="108"/>
      <c r="J19" s="108"/>
      <c r="K19" s="108"/>
      <c r="L19" s="108"/>
      <c r="M19" s="109"/>
      <c r="N19" s="37">
        <f>100-N18</f>
        <v>10.500410467202727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44964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0.33</v>
      </c>
      <c r="D23" s="52"/>
      <c r="E23" s="52">
        <v>0.33</v>
      </c>
      <c r="F23" s="53"/>
    </row>
    <row r="24" spans="1:48" x14ac:dyDescent="0.25">
      <c r="H24" s="46" t="s">
        <v>6</v>
      </c>
      <c r="I24" s="28">
        <v>4.37</v>
      </c>
      <c r="J24" s="33"/>
    </row>
    <row r="25" spans="1:48" x14ac:dyDescent="0.25">
      <c r="A25" s="91" t="s">
        <v>8</v>
      </c>
      <c r="B25" s="91" t="s">
        <v>30</v>
      </c>
      <c r="C25" s="91" t="s">
        <v>31</v>
      </c>
      <c r="D25" s="91" t="s">
        <v>68</v>
      </c>
      <c r="E25" s="91" t="s">
        <v>69</v>
      </c>
      <c r="F25" s="91" t="s">
        <v>74</v>
      </c>
      <c r="G25" s="54"/>
      <c r="H25" s="91" t="s">
        <v>9</v>
      </c>
      <c r="I25" s="91" t="s">
        <v>86</v>
      </c>
      <c r="J25" s="91" t="s">
        <v>2</v>
      </c>
      <c r="K25" s="91" t="s">
        <v>3</v>
      </c>
      <c r="L25" s="91" t="s">
        <v>4</v>
      </c>
      <c r="M25" s="91" t="s">
        <v>5</v>
      </c>
      <c r="N25" s="5" t="s">
        <v>15</v>
      </c>
      <c r="O25" s="5" t="s">
        <v>15</v>
      </c>
      <c r="P25" s="5" t="s">
        <v>15</v>
      </c>
      <c r="Q25" s="91" t="s">
        <v>96</v>
      </c>
      <c r="R25" s="92"/>
      <c r="S25" s="91" t="s">
        <v>122</v>
      </c>
      <c r="T25" s="91" t="s">
        <v>123</v>
      </c>
      <c r="U25" s="91" t="s">
        <v>82</v>
      </c>
      <c r="V25" s="35" t="s">
        <v>83</v>
      </c>
    </row>
    <row r="26" spans="1:48" x14ac:dyDescent="0.25">
      <c r="A26" s="91" t="s">
        <v>11</v>
      </c>
      <c r="B26" s="91" t="s">
        <v>93</v>
      </c>
      <c r="C26" s="91" t="s">
        <v>93</v>
      </c>
      <c r="D26" s="91" t="s">
        <v>13</v>
      </c>
      <c r="E26" s="91" t="s">
        <v>13</v>
      </c>
      <c r="F26" s="91" t="s">
        <v>13</v>
      </c>
      <c r="G26" s="54"/>
      <c r="H26" s="91" t="s">
        <v>11</v>
      </c>
      <c r="I26" s="91" t="s">
        <v>11</v>
      </c>
      <c r="J26" s="91" t="s">
        <v>11</v>
      </c>
      <c r="K26" s="91" t="s">
        <v>16</v>
      </c>
      <c r="L26" s="91" t="s">
        <v>19</v>
      </c>
      <c r="M26" s="91" t="s">
        <v>13</v>
      </c>
      <c r="N26" s="5" t="s">
        <v>75</v>
      </c>
      <c r="O26" s="91" t="s">
        <v>113</v>
      </c>
      <c r="P26" s="91" t="s">
        <v>76</v>
      </c>
      <c r="Q26" s="91" t="s">
        <v>76</v>
      </c>
      <c r="R26" s="92"/>
      <c r="S26" s="91" t="s">
        <v>76</v>
      </c>
      <c r="T26" s="91" t="s">
        <v>76</v>
      </c>
      <c r="U26" s="91" t="s">
        <v>11</v>
      </c>
      <c r="V26" s="35" t="s">
        <v>11</v>
      </c>
    </row>
    <row r="27" spans="1:48" x14ac:dyDescent="0.25">
      <c r="A27" s="1" t="s">
        <v>53</v>
      </c>
      <c r="B27" s="12">
        <f>0.65*'LA-Ref 0.6'!B6+0.35*B6</f>
        <v>19.2</v>
      </c>
      <c r="C27" s="18">
        <f>B27*(100-B$39)/B$41</f>
        <v>19.171279723526077</v>
      </c>
      <c r="D27" s="18">
        <f>INDEX(MAC!$H$3:$H$16,MATCH($A27,MAC!$A$3:$A$16,0))</f>
        <v>35.900659077291785</v>
      </c>
      <c r="E27" s="18">
        <f>C27*D27/100</f>
        <v>6.8826157742970633</v>
      </c>
      <c r="F27" s="21"/>
      <c r="G27" s="55"/>
      <c r="H27" s="91" t="s">
        <v>34</v>
      </c>
      <c r="I27" s="91"/>
      <c r="J27" s="65">
        <v>5.7000000000000005E-7</v>
      </c>
      <c r="K27" s="91">
        <f>'LA-Ref 0.6'!K6</f>
        <v>3.15</v>
      </c>
      <c r="L27" s="91">
        <f>'LA-Ref 0.6'!L6</f>
        <v>2166.0790000000002</v>
      </c>
      <c r="M27" s="5">
        <f>$F$41</f>
        <v>69.33200014345104</v>
      </c>
      <c r="N27" s="6">
        <f>100*J27*K27*(L27*0.00000001^3)^2*M27/INDEX('Reference-aQuartz'!$H$4:$H$17,MATCH($B$22,'Reference-aQuartz'!$A$4:$A$17,0))</f>
        <v>0.7765850417960577</v>
      </c>
      <c r="O27" s="32">
        <f>P27</f>
        <v>1.0328581055887567</v>
      </c>
      <c r="P27" s="31">
        <f>N27*(1+$E$23)</f>
        <v>1.0328581055887567</v>
      </c>
      <c r="Q27" s="69"/>
      <c r="R27" s="110" t="s">
        <v>79</v>
      </c>
      <c r="S27" s="100">
        <f>'LA-Ref 0.6'!P6+'LA-Ref 0.6'!P7</f>
        <v>65.176686588064143</v>
      </c>
      <c r="T27" s="100">
        <f>P27+P28</f>
        <v>1.0328581055887567</v>
      </c>
      <c r="U27" s="102">
        <f>(S27-T27)/S27</f>
        <v>0.98415295162031291</v>
      </c>
      <c r="V27" s="29">
        <f>(U27*S27+U29*S29+U30*S30+U31*S31)/S32</f>
        <v>0.93083944389940698</v>
      </c>
    </row>
    <row r="28" spans="1:48" x14ac:dyDescent="0.25">
      <c r="A28" s="1" t="s">
        <v>54</v>
      </c>
      <c r="B28" s="12">
        <f>0.65*'LA-Ref 0.6'!B7+0.35*B7</f>
        <v>5.2</v>
      </c>
      <c r="C28" s="18">
        <f t="shared" ref="C28:C38" si="5">B28*(100-B$39)/B$41</f>
        <v>5.1922215917883126</v>
      </c>
      <c r="D28" s="18">
        <f>INDEX(MAC!$H$3:$H$16,MATCH($A28,MAC!$A$3:$A$16,0))</f>
        <v>31.664851266660783</v>
      </c>
      <c r="E28" s="18">
        <f t="shared" ref="E28:E39" si="6">C28*D28/100</f>
        <v>1.6441092444752161</v>
      </c>
      <c r="F28" s="21"/>
      <c r="G28" s="55"/>
      <c r="H28" s="91" t="s">
        <v>35</v>
      </c>
      <c r="I28" s="91">
        <v>94742</v>
      </c>
      <c r="J28" s="91">
        <v>0</v>
      </c>
      <c r="K28" s="91">
        <f>'LA-Ref 0.6'!K7</f>
        <v>3.16</v>
      </c>
      <c r="L28" s="91">
        <f>'LA-Ref 0.6'!L7</f>
        <v>4316.1279999999997</v>
      </c>
      <c r="M28" s="5">
        <f t="shared" ref="M28:M39" si="7">$F$41</f>
        <v>69.33200014345104</v>
      </c>
      <c r="N28" s="6">
        <f>100*J28*K28*(L28*0.00000001^3)^2*M28/INDEX('Reference-aQuartz'!$H$4:$H$17,MATCH($B$22,'Reference-aQuartz'!$A$4:$A$17,0))</f>
        <v>0</v>
      </c>
      <c r="O28" s="32">
        <f t="shared" ref="O28:O39" si="8">P28</f>
        <v>0</v>
      </c>
      <c r="P28" s="31">
        <f t="shared" ref="P28:P39" si="9">N28*(1+$E$23)</f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0.6'!B8+0.35*B8</f>
        <v>3.67</v>
      </c>
      <c r="C29" s="18">
        <f t="shared" si="5"/>
        <v>3.6645102388198283</v>
      </c>
      <c r="D29" s="18">
        <f>INDEX(MAC!$H$3:$H$16,MATCH($A29,MAC!$A$3:$A$16,0))</f>
        <v>214.68463619455559</v>
      </c>
      <c r="E29" s="18">
        <f t="shared" si="6"/>
        <v>7.8671404745225892</v>
      </c>
      <c r="F29" s="21"/>
      <c r="G29" s="55"/>
      <c r="H29" s="91" t="s">
        <v>36</v>
      </c>
      <c r="I29" s="91">
        <v>81096</v>
      </c>
      <c r="J29" s="65">
        <v>8.3259999999999999E-5</v>
      </c>
      <c r="K29" s="91">
        <f>'LA-Ref 0.6'!K8</f>
        <v>3.29</v>
      </c>
      <c r="L29" s="91">
        <f>'LA-Ref 0.6'!L8</f>
        <v>347.22930000000002</v>
      </c>
      <c r="M29" s="5">
        <f t="shared" si="7"/>
        <v>69.33200014345104</v>
      </c>
      <c r="N29" s="6">
        <f>100*J29*K29*(L29*0.00000001^3)^2*M29/INDEX('Reference-aQuartz'!$H$4:$H$17,MATCH($B$22,'Reference-aQuartz'!$A$4:$A$17,0))</f>
        <v>3.0445286267153202</v>
      </c>
      <c r="O29" s="32">
        <f t="shared" si="8"/>
        <v>4.0492230735313761</v>
      </c>
      <c r="P29" s="31">
        <f t="shared" si="9"/>
        <v>4.0492230735313761</v>
      </c>
      <c r="Q29" s="69"/>
      <c r="R29" s="92" t="s">
        <v>80</v>
      </c>
      <c r="S29" s="69">
        <f>'LA-Ref 0.6'!P8</f>
        <v>10.194794468122005</v>
      </c>
      <c r="T29" s="69">
        <f>P29</f>
        <v>4.0492230735313761</v>
      </c>
      <c r="U29" s="34">
        <f>(S29-T29)/S29</f>
        <v>0.60281464367007609</v>
      </c>
    </row>
    <row r="30" spans="1:48" x14ac:dyDescent="0.25">
      <c r="A30" s="1" t="s">
        <v>0</v>
      </c>
      <c r="B30" s="12">
        <f>0.65*'LA-Ref 0.6'!B9+0.35*B9</f>
        <v>1</v>
      </c>
      <c r="C30" s="18">
        <f t="shared" si="5"/>
        <v>0.99850415226698319</v>
      </c>
      <c r="D30" s="18">
        <f>INDEX(MAC!$H$3:$H$16,MATCH($A30,MAC!$A$3:$A$16,0))</f>
        <v>28.686693628423974</v>
      </c>
      <c r="E30" s="18">
        <f t="shared" si="6"/>
        <v>0.28643782702792148</v>
      </c>
      <c r="F30" s="21"/>
      <c r="G30" s="55"/>
      <c r="H30" s="91" t="s">
        <v>37</v>
      </c>
      <c r="I30" s="91">
        <v>1841</v>
      </c>
      <c r="J30" s="91">
        <v>0</v>
      </c>
      <c r="K30" s="91">
        <f>'LA-Ref 0.6'!K9</f>
        <v>3.04</v>
      </c>
      <c r="L30" s="91">
        <f>'LA-Ref 0.6'!L9</f>
        <v>3541.5859999999998</v>
      </c>
      <c r="M30" s="5">
        <f t="shared" si="7"/>
        <v>69.33200014345104</v>
      </c>
      <c r="N30" s="6">
        <f>100*J30*K30*(L30*0.00000001^3)^2*M30/INDEX('Reference-aQuartz'!$H$4:$H$17,MATCH($B$22,'Reference-aQuartz'!$A$4:$A$17,0))</f>
        <v>0</v>
      </c>
      <c r="O30" s="32">
        <f t="shared" si="8"/>
        <v>0</v>
      </c>
      <c r="P30" s="31">
        <f t="shared" si="9"/>
        <v>0</v>
      </c>
      <c r="Q30" s="69"/>
      <c r="R30" s="92" t="s">
        <v>37</v>
      </c>
      <c r="S30" s="69">
        <f>'LA-Ref 0.6'!P9</f>
        <v>3.6316399310689436</v>
      </c>
      <c r="T30" s="69">
        <f>P30</f>
        <v>0</v>
      </c>
      <c r="U30" s="34">
        <f t="shared" ref="U30:U31" si="10">(S30-T30)/S30</f>
        <v>1</v>
      </c>
    </row>
    <row r="31" spans="1:48" x14ac:dyDescent="0.25">
      <c r="A31" s="1" t="s">
        <v>1</v>
      </c>
      <c r="B31" s="12">
        <f>0.65*'LA-Ref 0.6'!B10+0.35*B10</f>
        <v>63.4</v>
      </c>
      <c r="C31" s="18">
        <f t="shared" si="5"/>
        <v>63.305163253726732</v>
      </c>
      <c r="D31" s="18">
        <f>INDEX(MAC!$H$3:$H$16,MATCH($A31,MAC!$A$3:$A$16,0))</f>
        <v>124.77929454143408</v>
      </c>
      <c r="E31" s="18">
        <f t="shared" si="6"/>
        <v>78.991736116303372</v>
      </c>
      <c r="F31" s="21"/>
      <c r="G31" s="55"/>
      <c r="H31" s="91" t="s">
        <v>38</v>
      </c>
      <c r="I31" s="91">
        <v>98836</v>
      </c>
      <c r="J31" s="65">
        <v>1.3190000000000001E-5</v>
      </c>
      <c r="K31" s="91">
        <f>'LA-Ref 0.6'!K10</f>
        <v>3.75</v>
      </c>
      <c r="L31" s="91">
        <f>'LA-Ref 0.6'!L10</f>
        <v>430.91660000000002</v>
      </c>
      <c r="M31" s="5">
        <f t="shared" si="7"/>
        <v>69.33200014345104</v>
      </c>
      <c r="N31" s="6">
        <f>100*J31*K31*(L31*0.00000001^3)^2*M31/INDEX('Reference-aQuartz'!$H$4:$H$17,MATCH($B$22,'Reference-aQuartz'!$A$4:$A$17,0))</f>
        <v>0.84667656691382198</v>
      </c>
      <c r="O31" s="32">
        <f t="shared" si="8"/>
        <v>1.1260798339953833</v>
      </c>
      <c r="P31" s="31">
        <f t="shared" si="9"/>
        <v>1.1260798339953833</v>
      </c>
      <c r="Q31" s="69"/>
      <c r="R31" s="92" t="s">
        <v>81</v>
      </c>
      <c r="S31" s="69">
        <f>'LA-Ref 0.6'!P10</f>
        <v>10.761354071127171</v>
      </c>
      <c r="T31" s="69">
        <f>P31</f>
        <v>1.1260798339953833</v>
      </c>
      <c r="U31" s="34">
        <f t="shared" si="10"/>
        <v>0.89535890868820422</v>
      </c>
    </row>
    <row r="32" spans="1:48" x14ac:dyDescent="0.25">
      <c r="A32" s="1" t="s">
        <v>56</v>
      </c>
      <c r="B32" s="12">
        <f>0.65*'LA-Ref 0.6'!B11+0.35*B11</f>
        <v>0.38</v>
      </c>
      <c r="C32" s="18">
        <f t="shared" si="5"/>
        <v>0.3794315778614536</v>
      </c>
      <c r="D32" s="18">
        <f>INDEX(MAC!$H$3:$H$16,MATCH($A32,MAC!$A$3:$A$16,0))</f>
        <v>122.32505440840811</v>
      </c>
      <c r="E32" s="18">
        <f t="shared" si="6"/>
        <v>0.46413988406170448</v>
      </c>
      <c r="F32" s="21"/>
      <c r="G32" s="55"/>
      <c r="H32" s="91" t="s">
        <v>40</v>
      </c>
      <c r="I32" s="91">
        <v>202220</v>
      </c>
      <c r="J32" s="91">
        <v>2.2741190000000001E-2</v>
      </c>
      <c r="K32" s="91">
        <v>2.2400000000000002</v>
      </c>
      <c r="L32" s="91">
        <v>54.87574</v>
      </c>
      <c r="M32" s="5">
        <f t="shared" si="7"/>
        <v>69.33200014345104</v>
      </c>
      <c r="N32" s="6">
        <f>100*J32*K32*(L32*0.00000001^3)^2*M32/INDEX('Reference-aQuartz'!$H$4:$H$17,MATCH($B$22,'Reference-aQuartz'!$A$4:$A$17,0))</f>
        <v>14.140898738877853</v>
      </c>
      <c r="O32" s="32">
        <f t="shared" si="8"/>
        <v>18.807395322707546</v>
      </c>
      <c r="P32" s="31">
        <f t="shared" si="9"/>
        <v>18.807395322707546</v>
      </c>
      <c r="Q32" s="69">
        <v>19.3</v>
      </c>
      <c r="R32" s="92" t="s">
        <v>84</v>
      </c>
      <c r="S32" s="69">
        <f>SUM(S27:S31)</f>
        <v>89.764475058382274</v>
      </c>
      <c r="T32" s="69">
        <f>SUM(T27:T31)</f>
        <v>6.2081610131155163</v>
      </c>
    </row>
    <row r="33" spans="1:22" x14ac:dyDescent="0.25">
      <c r="A33" s="1" t="s">
        <v>57</v>
      </c>
      <c r="B33" s="12">
        <f>0.65*'LA-Ref 0.6'!B12+0.35*B12</f>
        <v>3.1400000000000006</v>
      </c>
      <c r="C33" s="18">
        <f t="shared" si="5"/>
        <v>3.135303038118328</v>
      </c>
      <c r="D33" s="18">
        <f>INDEX(MAC!$H$3:$H$16,MATCH($A33,MAC!$A$3:$A$16,0))</f>
        <v>44.261072668681777</v>
      </c>
      <c r="E33" s="18">
        <f t="shared" si="6"/>
        <v>1.3877187560849407</v>
      </c>
      <c r="F33" s="21"/>
      <c r="G33" s="55"/>
      <c r="H33" s="91" t="s">
        <v>25</v>
      </c>
      <c r="I33" s="91">
        <v>73446</v>
      </c>
      <c r="J33" s="65">
        <v>3.6100000000000003E-5</v>
      </c>
      <c r="K33" s="91">
        <v>2.7</v>
      </c>
      <c r="L33" s="91">
        <v>369.05930000000001</v>
      </c>
      <c r="M33" s="5">
        <f t="shared" si="7"/>
        <v>69.33200014345104</v>
      </c>
      <c r="N33" s="6">
        <f>100*J33*K33*(L33*0.00000001^3)^2*M33/INDEX('Reference-aQuartz'!$H$4:$H$17,MATCH($B$22,'Reference-aQuartz'!$A$4:$A$17,0))</f>
        <v>1.2238221274389944</v>
      </c>
      <c r="O33" s="32">
        <f t="shared" si="8"/>
        <v>1.6276834294938627</v>
      </c>
      <c r="P33" s="31">
        <f t="shared" si="9"/>
        <v>1.6276834294938627</v>
      </c>
      <c r="Q33" s="69">
        <v>2.8</v>
      </c>
    </row>
    <row r="34" spans="1:22" x14ac:dyDescent="0.25">
      <c r="A34" s="1" t="s">
        <v>14</v>
      </c>
      <c r="B34" s="12">
        <f>0.65*'LA-Ref 0.6'!B13+0.35*B13</f>
        <v>0.13</v>
      </c>
      <c r="C34" s="18">
        <f t="shared" si="5"/>
        <v>0.12980553979470782</v>
      </c>
      <c r="D34" s="18">
        <f>INDEX(MAC!$H$3:$H$16,MATCH($A34,MAC!$A$3:$A$16,0))</f>
        <v>97.328178229861322</v>
      </c>
      <c r="E34" s="18">
        <f t="shared" si="6"/>
        <v>0.12633736712362681</v>
      </c>
      <c r="F34" s="21"/>
      <c r="G34" s="55"/>
      <c r="H34" s="91" t="s">
        <v>21</v>
      </c>
      <c r="I34" s="91">
        <v>174</v>
      </c>
      <c r="J34" s="65">
        <v>5.0219999999999997E-5</v>
      </c>
      <c r="K34" s="91">
        <v>2.65</v>
      </c>
      <c r="L34" s="91">
        <v>113.04649999999999</v>
      </c>
      <c r="M34" s="5">
        <f t="shared" si="7"/>
        <v>69.33200014345104</v>
      </c>
      <c r="N34" s="6">
        <f>100*J34*K34*(L34*0.00000001^3)^2*M34/INDEX('Reference-aQuartz'!$H$4:$H$17,MATCH($B$22,'Reference-aQuartz'!$A$4:$A$17,0))</f>
        <v>0.15678043019285956</v>
      </c>
      <c r="O34" s="32">
        <f t="shared" si="8"/>
        <v>0.20851797215650322</v>
      </c>
      <c r="P34" s="31">
        <f t="shared" si="9"/>
        <v>0.20851797215650322</v>
      </c>
      <c r="Q34" s="69"/>
    </row>
    <row r="35" spans="1:22" x14ac:dyDescent="0.25">
      <c r="A35" s="1" t="s">
        <v>58</v>
      </c>
      <c r="B35" s="12">
        <f>0.65*'LA-Ref 0.6'!B14+0.35*B14</f>
        <v>0.33</v>
      </c>
      <c r="C35" s="18">
        <f t="shared" si="5"/>
        <v>0.32950637024810447</v>
      </c>
      <c r="D35" s="18">
        <f>INDEX(MAC!$H$3:$H$16,MATCH($A35,MAC!$A$3:$A$16,0))</f>
        <v>19.10926020222594</v>
      </c>
      <c r="E35" s="18">
        <f t="shared" si="6"/>
        <v>6.2966229673620283E-2</v>
      </c>
      <c r="F35" s="21"/>
      <c r="G35" s="55"/>
      <c r="H35" s="91" t="s">
        <v>87</v>
      </c>
      <c r="I35" s="91">
        <v>155395</v>
      </c>
      <c r="J35" s="65">
        <v>5.6099999999999997E-6</v>
      </c>
      <c r="K35" s="91">
        <v>1.79</v>
      </c>
      <c r="L35" s="91">
        <v>2330.915</v>
      </c>
      <c r="M35" s="5">
        <f t="shared" si="7"/>
        <v>69.33200014345104</v>
      </c>
      <c r="N35" s="6">
        <f>100*J35*K35*(L35*0.00000001^3)^2*M35/INDEX('Reference-aQuartz'!$H$4:$H$17,MATCH($B$22,'Reference-aQuartz'!$A$4:$A$17,0))</f>
        <v>5.0294881980561339</v>
      </c>
      <c r="O35" s="32">
        <f t="shared" si="8"/>
        <v>6.6892193034146583</v>
      </c>
      <c r="P35" s="31">
        <f t="shared" si="9"/>
        <v>6.6892193034146583</v>
      </c>
      <c r="Q35" s="69"/>
    </row>
    <row r="36" spans="1:22" x14ac:dyDescent="0.25">
      <c r="A36" s="1" t="s">
        <v>59</v>
      </c>
      <c r="B36" s="12">
        <f>0.65*'LA-Ref 0.6'!B15+0.35*B15</f>
        <v>0.19</v>
      </c>
      <c r="C36" s="18">
        <f t="shared" si="5"/>
        <v>0.1897157889307268</v>
      </c>
      <c r="D36" s="18">
        <f>INDEX(MAC!$H$3:$H$16,MATCH($A36,MAC!$A$3:$A$16,0))</f>
        <v>124.47726788956365</v>
      </c>
      <c r="E36" s="18">
        <f t="shared" si="6"/>
        <v>0.23615303081609995</v>
      </c>
      <c r="F36" s="21"/>
      <c r="G36" s="55"/>
      <c r="H36" s="91" t="s">
        <v>88</v>
      </c>
      <c r="I36" s="91">
        <v>81963</v>
      </c>
      <c r="J36" s="82">
        <v>0</v>
      </c>
      <c r="K36" s="91"/>
      <c r="L36" s="91"/>
      <c r="M36" s="5">
        <f t="shared" si="7"/>
        <v>69.33200014345104</v>
      </c>
      <c r="N36" s="6">
        <f>100*J36*K36*(L36*0.00000001^3)^2*M36/INDEX('Reference-aQuartz'!$H$4:$H$17,MATCH($B$22,'Reference-aQuartz'!$A$4:$A$17,0))</f>
        <v>0</v>
      </c>
      <c r="O36" s="32">
        <f t="shared" si="8"/>
        <v>0</v>
      </c>
      <c r="P36" s="31">
        <f t="shared" si="9"/>
        <v>0</v>
      </c>
      <c r="Q36" s="69"/>
    </row>
    <row r="37" spans="1:22" x14ac:dyDescent="0.25">
      <c r="A37" s="1" t="s">
        <v>60</v>
      </c>
      <c r="B37" s="12">
        <f>0.65*'LA-Ref 0.6'!B16+0.35*B16</f>
        <v>0.26</v>
      </c>
      <c r="C37" s="18">
        <f t="shared" si="5"/>
        <v>0.25961107958941565</v>
      </c>
      <c r="D37" s="18">
        <f>INDEX(MAC!$H$3:$H$16,MATCH($A37,MAC!$A$3:$A$16,0))</f>
        <v>39.431437267071992</v>
      </c>
      <c r="E37" s="18">
        <f t="shared" si="6"/>
        <v>0.10236837998666877</v>
      </c>
      <c r="F37" s="21"/>
      <c r="G37" s="55"/>
      <c r="H37" s="91" t="s">
        <v>89</v>
      </c>
      <c r="I37" s="91">
        <v>59327</v>
      </c>
      <c r="J37" s="65">
        <v>4.9809999999999999E-5</v>
      </c>
      <c r="K37" s="91">
        <v>2.16</v>
      </c>
      <c r="L37" s="91">
        <v>436.79289999999997</v>
      </c>
      <c r="M37" s="5">
        <f t="shared" si="7"/>
        <v>69.33200014345104</v>
      </c>
      <c r="N37" s="6">
        <f>100*J37*K37*(L37*0.00000001^3)^2*M37/INDEX('Reference-aQuartz'!$H$4:$H$17,MATCH($B$22,'Reference-aQuartz'!$A$4:$A$17,0))</f>
        <v>1.8922410572533308</v>
      </c>
      <c r="O37" s="32">
        <f t="shared" si="8"/>
        <v>2.51668060614693</v>
      </c>
      <c r="P37" s="31">
        <f t="shared" si="9"/>
        <v>2.51668060614693</v>
      </c>
      <c r="Q37" s="69"/>
    </row>
    <row r="38" spans="1:22" x14ac:dyDescent="0.25">
      <c r="A38" s="19" t="s">
        <v>23</v>
      </c>
      <c r="B38" s="12">
        <f>0.65*'LA-Ref 0.6'!B17+0.35*B17</f>
        <v>3.5000000000000003E-2</v>
      </c>
      <c r="C38" s="18">
        <f t="shared" si="5"/>
        <v>3.4947645329344419E-2</v>
      </c>
      <c r="D38" s="18">
        <f>INDEX(MAC!$H$3:$H$16,MATCH($A38,MAC!$A$3:$A$16,0))</f>
        <v>197.69998688868492</v>
      </c>
      <c r="E38" s="18">
        <f t="shared" si="6"/>
        <v>6.9091490234018019E-2</v>
      </c>
      <c r="F38" s="21"/>
      <c r="G38" s="55"/>
      <c r="H38" s="91" t="s">
        <v>90</v>
      </c>
      <c r="I38" s="91">
        <v>2105252</v>
      </c>
      <c r="J38" s="65">
        <v>1.08E-6</v>
      </c>
      <c r="K38" s="91">
        <v>1.82</v>
      </c>
      <c r="L38" s="91">
        <v>1416.162</v>
      </c>
      <c r="M38" s="5">
        <f t="shared" si="7"/>
        <v>69.33200014345104</v>
      </c>
      <c r="N38" s="6">
        <f>100*J38*K38*(L38*0.00000001^3)^2*M38/INDEX('Reference-aQuartz'!$H$4:$H$17,MATCH($B$22,'Reference-aQuartz'!$A$4:$A$17,0))</f>
        <v>0.36339257116708529</v>
      </c>
      <c r="O38" s="32">
        <f t="shared" si="8"/>
        <v>0.48331211965222348</v>
      </c>
      <c r="P38" s="31">
        <f t="shared" si="9"/>
        <v>0.48331211965222348</v>
      </c>
      <c r="Q38" s="69"/>
    </row>
    <row r="39" spans="1:22" x14ac:dyDescent="0.25">
      <c r="A39" s="1" t="s">
        <v>66</v>
      </c>
      <c r="B39" s="12">
        <f>0.65*'LA-Ref 0.6'!B18+0.35*B18</f>
        <v>3.21</v>
      </c>
      <c r="C39" s="18">
        <f>B39</f>
        <v>3.21</v>
      </c>
      <c r="D39" s="18">
        <f>INDEX(MAC!$H$3:$H$16,MATCH($A39,MAC!$A$3:$A$16,0))</f>
        <v>9.592279079279237</v>
      </c>
      <c r="E39" s="18">
        <f t="shared" si="6"/>
        <v>0.30791215844486347</v>
      </c>
      <c r="F39" s="21"/>
      <c r="G39" s="55"/>
      <c r="H39" s="21"/>
      <c r="I39" s="21"/>
      <c r="J39" s="21"/>
      <c r="K39" s="21"/>
      <c r="L39" s="21"/>
      <c r="M39" s="5">
        <f t="shared" si="7"/>
        <v>69.33200014345104</v>
      </c>
      <c r="N39" s="6">
        <f>100*J39*K39*(L39*0.00000001^3)^2*M39/INDEX('Reference-aQuartz'!$H$4:$H$17,MATCH($B$22,'Reference-aQuartz'!$A$4:$A$17,0))</f>
        <v>0</v>
      </c>
      <c r="O39" s="32">
        <f t="shared" si="8"/>
        <v>0</v>
      </c>
      <c r="P39" s="31">
        <f t="shared" si="9"/>
        <v>0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107" t="s">
        <v>7</v>
      </c>
      <c r="I40" s="108"/>
      <c r="J40" s="108"/>
      <c r="K40" s="108"/>
      <c r="L40" s="108"/>
      <c r="M40" s="109"/>
      <c r="N40" s="6">
        <f>SUM(N27:N39)</f>
        <v>27.474413358411457</v>
      </c>
      <c r="O40" s="31">
        <f>SUM(O27:O39)</f>
        <v>36.54096976668724</v>
      </c>
      <c r="P40" s="31">
        <f>SUM(P27:P39)</f>
        <v>36.54096976668724</v>
      </c>
    </row>
    <row r="41" spans="1:22" x14ac:dyDescent="0.25">
      <c r="A41" s="91" t="s">
        <v>7</v>
      </c>
      <c r="B41" s="40">
        <f>SUM(B27:B38)</f>
        <v>96.934999999999988</v>
      </c>
      <c r="C41" s="40">
        <f>SUM(C27:C39)</f>
        <v>100</v>
      </c>
      <c r="D41" s="91" t="s">
        <v>29</v>
      </c>
      <c r="E41" s="56">
        <f>SUM(E27:E39)</f>
        <v>98.428726733051704</v>
      </c>
      <c r="F41" s="41">
        <f>E41*(1-C23)+D40*C23</f>
        <v>69.33200014345104</v>
      </c>
      <c r="H41" s="107" t="s">
        <v>28</v>
      </c>
      <c r="I41" s="108"/>
      <c r="J41" s="108"/>
      <c r="K41" s="108"/>
      <c r="L41" s="108"/>
      <c r="M41" s="109"/>
      <c r="N41" s="6">
        <f>100-N40</f>
        <v>72.525586641588546</v>
      </c>
      <c r="O41" s="31">
        <f>100-O40</f>
        <v>63.45903023331276</v>
      </c>
      <c r="P41" s="31">
        <f>100-P40</f>
        <v>63.45903023331276</v>
      </c>
    </row>
    <row r="44" spans="1:22" x14ac:dyDescent="0.25">
      <c r="A44" s="42" t="s">
        <v>32</v>
      </c>
      <c r="B44" s="43"/>
      <c r="C44" s="47" t="s">
        <v>85</v>
      </c>
      <c r="D44" s="48"/>
      <c r="E44" s="48" t="s">
        <v>77</v>
      </c>
      <c r="F44" s="49"/>
    </row>
    <row r="45" spans="1:22" x14ac:dyDescent="0.25">
      <c r="A45" s="44" t="s">
        <v>78</v>
      </c>
      <c r="B45" s="50"/>
      <c r="C45" s="51"/>
      <c r="D45" s="52"/>
      <c r="E45" s="52"/>
      <c r="F45" s="53"/>
    </row>
    <row r="46" spans="1:22" x14ac:dyDescent="0.25">
      <c r="H46" s="46" t="s">
        <v>6</v>
      </c>
      <c r="I46" s="87"/>
      <c r="J46" s="33"/>
    </row>
    <row r="47" spans="1:22" x14ac:dyDescent="0.25">
      <c r="A47" s="91" t="s">
        <v>8</v>
      </c>
      <c r="B47" s="91" t="s">
        <v>30</v>
      </c>
      <c r="C47" s="91" t="s">
        <v>31</v>
      </c>
      <c r="D47" s="91" t="s">
        <v>68</v>
      </c>
      <c r="E47" s="91" t="s">
        <v>69</v>
      </c>
      <c r="F47" s="91" t="s">
        <v>74</v>
      </c>
      <c r="G47" s="54"/>
      <c r="H47" s="91" t="s">
        <v>9</v>
      </c>
      <c r="I47" s="91" t="s">
        <v>86</v>
      </c>
      <c r="J47" s="91" t="s">
        <v>2</v>
      </c>
      <c r="K47" s="91" t="s">
        <v>3</v>
      </c>
      <c r="L47" s="91" t="s">
        <v>4</v>
      </c>
      <c r="M47" s="91" t="s">
        <v>5</v>
      </c>
      <c r="N47" s="5" t="s">
        <v>15</v>
      </c>
      <c r="O47" s="5" t="s">
        <v>15</v>
      </c>
      <c r="P47" s="5" t="s">
        <v>15</v>
      </c>
      <c r="Q47" s="91" t="s">
        <v>96</v>
      </c>
      <c r="R47" s="92"/>
      <c r="S47" s="96" t="s">
        <v>122</v>
      </c>
      <c r="T47" s="96" t="s">
        <v>123</v>
      </c>
      <c r="U47" s="91" t="s">
        <v>82</v>
      </c>
      <c r="V47" s="35" t="s">
        <v>83</v>
      </c>
    </row>
    <row r="48" spans="1:22" x14ac:dyDescent="0.25">
      <c r="A48" s="91" t="s">
        <v>11</v>
      </c>
      <c r="B48" s="91" t="s">
        <v>93</v>
      </c>
      <c r="C48" s="91" t="s">
        <v>93</v>
      </c>
      <c r="D48" s="91" t="s">
        <v>13</v>
      </c>
      <c r="E48" s="91" t="s">
        <v>13</v>
      </c>
      <c r="F48" s="91" t="s">
        <v>13</v>
      </c>
      <c r="G48" s="54"/>
      <c r="H48" s="91" t="s">
        <v>11</v>
      </c>
      <c r="I48" s="91" t="s">
        <v>11</v>
      </c>
      <c r="J48" s="91" t="s">
        <v>11</v>
      </c>
      <c r="K48" s="91" t="s">
        <v>16</v>
      </c>
      <c r="L48" s="91" t="s">
        <v>19</v>
      </c>
      <c r="M48" s="91" t="s">
        <v>13</v>
      </c>
      <c r="N48" s="5" t="s">
        <v>75</v>
      </c>
      <c r="O48" s="91" t="s">
        <v>113</v>
      </c>
      <c r="P48" s="91" t="s">
        <v>76</v>
      </c>
      <c r="Q48" s="91" t="s">
        <v>76</v>
      </c>
      <c r="R48" s="92"/>
      <c r="S48" s="91" t="s">
        <v>76</v>
      </c>
      <c r="T48" s="91" t="s">
        <v>76</v>
      </c>
      <c r="U48" s="91" t="s">
        <v>11</v>
      </c>
      <c r="V48" s="35" t="s">
        <v>11</v>
      </c>
    </row>
    <row r="49" spans="1:22" x14ac:dyDescent="0.25">
      <c r="A49" s="1" t="s">
        <v>53</v>
      </c>
      <c r="B49" s="12">
        <f>0.65*'LA-Ref 0.6'!B6+0.35*B6</f>
        <v>19.2</v>
      </c>
      <c r="C49" s="18">
        <f>B49*(100-B$39)/B$41</f>
        <v>19.171279723526077</v>
      </c>
      <c r="D49" s="18">
        <f>INDEX(MAC!$H$3:$H$16,MATCH($A49,MAC!$A$3:$A$16,0))</f>
        <v>35.900659077291785</v>
      </c>
      <c r="E49" s="18">
        <f>C49*D49/100</f>
        <v>6.8826157742970633</v>
      </c>
      <c r="F49" s="21"/>
      <c r="G49" s="55"/>
      <c r="H49" s="91" t="s">
        <v>34</v>
      </c>
      <c r="I49" s="91"/>
      <c r="J49" s="65"/>
      <c r="K49" s="91">
        <f>'LA-Ref 0.6'!K6</f>
        <v>3.15</v>
      </c>
      <c r="L49" s="91">
        <f>'LA-Ref 0.6'!L6</f>
        <v>2166.0790000000002</v>
      </c>
      <c r="M49" s="5">
        <f>$F$63</f>
        <v>98.428726733051704</v>
      </c>
      <c r="N49" s="6" t="e">
        <f>100*J49*K49*(L49*0.00000001^3)^2*M49/INDEX('Reference-aQuartz'!$H$4:$H$17,MATCH($B$44,'Reference-aQuartz'!$A$4:$A$17,0))</f>
        <v>#N/A</v>
      </c>
      <c r="O49" s="32" t="e">
        <f>P49</f>
        <v>#N/A</v>
      </c>
      <c r="P49" s="31" t="e">
        <f t="shared" ref="P49:P61" si="11">N49*(1+$E$45)</f>
        <v>#N/A</v>
      </c>
      <c r="Q49" s="69"/>
      <c r="R49" s="110" t="s">
        <v>79</v>
      </c>
      <c r="S49" s="100">
        <f>('LA-Ref 0.6'!P6+'LA-Ref 0.6'!P7)</f>
        <v>65.176686588064143</v>
      </c>
      <c r="T49" s="100" t="e">
        <f>P49+P50</f>
        <v>#N/A</v>
      </c>
      <c r="U49" s="102" t="e">
        <f>(S49-T49)/S49</f>
        <v>#N/A</v>
      </c>
      <c r="V49" s="29" t="e">
        <f>(U49*S49+U51*S51+U52*S52+U53*S53)/S54</f>
        <v>#N/A</v>
      </c>
    </row>
    <row r="50" spans="1:22" x14ac:dyDescent="0.25">
      <c r="A50" s="1" t="s">
        <v>54</v>
      </c>
      <c r="B50" s="12">
        <f>0.65*'LA-Ref 0.6'!B7+0.35*B7</f>
        <v>5.2</v>
      </c>
      <c r="C50" s="18">
        <f t="shared" ref="C50:C60" si="12">B50*(100-B$39)/B$41</f>
        <v>5.1922215917883126</v>
      </c>
      <c r="D50" s="18">
        <f>INDEX(MAC!$H$3:$H$16,MATCH($A50,MAC!$A$3:$A$16,0))</f>
        <v>31.664851266660783</v>
      </c>
      <c r="E50" s="18">
        <f t="shared" ref="E50:E61" si="13">C50*D50/100</f>
        <v>1.6441092444752161</v>
      </c>
      <c r="F50" s="21"/>
      <c r="G50" s="55"/>
      <c r="H50" s="91" t="s">
        <v>35</v>
      </c>
      <c r="I50" s="91">
        <v>94742</v>
      </c>
      <c r="J50" s="91"/>
      <c r="K50" s="91">
        <f>'LA-Ref 0.6'!K7</f>
        <v>3.16</v>
      </c>
      <c r="L50" s="91">
        <f>'LA-Ref 0.6'!L7</f>
        <v>4316.1279999999997</v>
      </c>
      <c r="M50" s="5">
        <f t="shared" ref="M50:M61" si="14">$F$63</f>
        <v>98.428726733051704</v>
      </c>
      <c r="N50" s="6" t="e">
        <f>100*J50*K50*(L50*0.00000001^3)^2*M50/INDEX('Reference-aQuartz'!$H$4:$H$17,MATCH($B$44,'Reference-aQuartz'!$A$4:$A$17,0))</f>
        <v>#N/A</v>
      </c>
      <c r="O50" s="32" t="e">
        <f t="shared" ref="O50:O61" si="15">P50</f>
        <v>#N/A</v>
      </c>
      <c r="P50" s="31" t="e">
        <f t="shared" si="11"/>
        <v>#N/A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0.6'!B8+0.35*B8</f>
        <v>3.67</v>
      </c>
      <c r="C51" s="18">
        <f t="shared" si="12"/>
        <v>3.6645102388198283</v>
      </c>
      <c r="D51" s="18">
        <f>INDEX(MAC!$H$3:$H$16,MATCH($A51,MAC!$A$3:$A$16,0))</f>
        <v>214.68463619455559</v>
      </c>
      <c r="E51" s="18">
        <f t="shared" si="13"/>
        <v>7.8671404745225892</v>
      </c>
      <c r="F51" s="21"/>
      <c r="G51" s="55"/>
      <c r="H51" s="91" t="s">
        <v>36</v>
      </c>
      <c r="I51" s="91">
        <v>81096</v>
      </c>
      <c r="J51" s="65"/>
      <c r="K51" s="91">
        <f>'LA-Ref 0.6'!K8</f>
        <v>3.29</v>
      </c>
      <c r="L51" s="91">
        <f>'LA-Ref 0.6'!L8</f>
        <v>347.22930000000002</v>
      </c>
      <c r="M51" s="5">
        <f t="shared" si="14"/>
        <v>98.428726733051704</v>
      </c>
      <c r="N51" s="6" t="e">
        <f>100*J51*K51*(L51*0.00000001^3)^2*M51/INDEX('Reference-aQuartz'!$H$4:$H$17,MATCH($B$44,'Reference-aQuartz'!$A$4:$A$17,0))</f>
        <v>#N/A</v>
      </c>
      <c r="O51" s="32" t="e">
        <f t="shared" si="15"/>
        <v>#N/A</v>
      </c>
      <c r="P51" s="31" t="e">
        <f t="shared" si="11"/>
        <v>#N/A</v>
      </c>
      <c r="Q51" s="69"/>
      <c r="R51" s="92" t="s">
        <v>80</v>
      </c>
      <c r="S51" s="69">
        <f>'LA-Ref 0.6'!P8</f>
        <v>10.194794468122005</v>
      </c>
      <c r="T51" s="69" t="e">
        <f>P51</f>
        <v>#N/A</v>
      </c>
      <c r="U51" s="34" t="e">
        <f>(S51-T51)/S51</f>
        <v>#N/A</v>
      </c>
    </row>
    <row r="52" spans="1:22" x14ac:dyDescent="0.25">
      <c r="A52" s="1" t="s">
        <v>0</v>
      </c>
      <c r="B52" s="12">
        <f>0.65*'LA-Ref 0.6'!B9+0.35*B9</f>
        <v>1</v>
      </c>
      <c r="C52" s="18">
        <f t="shared" si="12"/>
        <v>0.99850415226698319</v>
      </c>
      <c r="D52" s="18">
        <f>INDEX(MAC!$H$3:$H$16,MATCH($A52,MAC!$A$3:$A$16,0))</f>
        <v>28.686693628423974</v>
      </c>
      <c r="E52" s="18">
        <f t="shared" si="13"/>
        <v>0.28643782702792148</v>
      </c>
      <c r="F52" s="21"/>
      <c r="G52" s="55"/>
      <c r="H52" s="91" t="s">
        <v>37</v>
      </c>
      <c r="I52" s="91">
        <v>1841</v>
      </c>
      <c r="J52" s="91"/>
      <c r="K52" s="91">
        <f>'LA-Ref 0.6'!K9</f>
        <v>3.04</v>
      </c>
      <c r="L52" s="91">
        <f>'LA-Ref 0.6'!L9</f>
        <v>3541.5859999999998</v>
      </c>
      <c r="M52" s="5">
        <f t="shared" si="14"/>
        <v>98.428726733051704</v>
      </c>
      <c r="N52" s="6" t="e">
        <f>100*J52*K52*(L52*0.00000001^3)^2*M52/INDEX('Reference-aQuartz'!$H$4:$H$17,MATCH($B$44,'Reference-aQuartz'!$A$4:$A$17,0))</f>
        <v>#N/A</v>
      </c>
      <c r="O52" s="32" t="e">
        <f t="shared" si="15"/>
        <v>#N/A</v>
      </c>
      <c r="P52" s="31" t="e">
        <f t="shared" si="11"/>
        <v>#N/A</v>
      </c>
      <c r="Q52" s="69"/>
      <c r="R52" s="92" t="s">
        <v>37</v>
      </c>
      <c r="S52" s="69">
        <f>'LA-Ref 0.6'!P9</f>
        <v>3.6316399310689436</v>
      </c>
      <c r="T52" s="69" t="e">
        <f>P52</f>
        <v>#N/A</v>
      </c>
      <c r="U52" s="34" t="e">
        <f t="shared" ref="U52:U53" si="16">(S52-T52)/S52</f>
        <v>#N/A</v>
      </c>
    </row>
    <row r="53" spans="1:22" x14ac:dyDescent="0.25">
      <c r="A53" s="1" t="s">
        <v>1</v>
      </c>
      <c r="B53" s="12">
        <f>0.65*'LA-Ref 0.6'!B10+0.35*B10</f>
        <v>63.4</v>
      </c>
      <c r="C53" s="18">
        <f t="shared" si="12"/>
        <v>63.305163253726732</v>
      </c>
      <c r="D53" s="18">
        <f>INDEX(MAC!$H$3:$H$16,MATCH($A53,MAC!$A$3:$A$16,0))</f>
        <v>124.77929454143408</v>
      </c>
      <c r="E53" s="18">
        <f t="shared" si="13"/>
        <v>78.991736116303372</v>
      </c>
      <c r="F53" s="21"/>
      <c r="G53" s="55"/>
      <c r="H53" s="91" t="s">
        <v>38</v>
      </c>
      <c r="I53" s="91">
        <v>98836</v>
      </c>
      <c r="J53" s="65"/>
      <c r="K53" s="91">
        <f>'LA-Ref 0.6'!K10</f>
        <v>3.75</v>
      </c>
      <c r="L53" s="91">
        <f>'LA-Ref 0.6'!L10</f>
        <v>430.91660000000002</v>
      </c>
      <c r="M53" s="5">
        <f t="shared" si="14"/>
        <v>98.428726733051704</v>
      </c>
      <c r="N53" s="6" t="e">
        <f>100*J53*K53*(L53*0.00000001^3)^2*M53/INDEX('Reference-aQuartz'!$H$4:$H$17,MATCH($B$44,'Reference-aQuartz'!$A$4:$A$17,0))</f>
        <v>#N/A</v>
      </c>
      <c r="O53" s="32" t="e">
        <f t="shared" si="15"/>
        <v>#N/A</v>
      </c>
      <c r="P53" s="31" t="e">
        <f t="shared" si="11"/>
        <v>#N/A</v>
      </c>
      <c r="Q53" s="69"/>
      <c r="R53" s="92" t="s">
        <v>81</v>
      </c>
      <c r="S53" s="69">
        <f>'LA-Ref 0.6'!P10</f>
        <v>10.761354071127171</v>
      </c>
      <c r="T53" s="69" t="e">
        <f>P53</f>
        <v>#N/A</v>
      </c>
      <c r="U53" s="34" t="e">
        <f t="shared" si="16"/>
        <v>#N/A</v>
      </c>
    </row>
    <row r="54" spans="1:22" x14ac:dyDescent="0.25">
      <c r="A54" s="1" t="s">
        <v>56</v>
      </c>
      <c r="B54" s="12">
        <f>0.65*'LA-Ref 0.6'!B11+0.35*B11</f>
        <v>0.38</v>
      </c>
      <c r="C54" s="18">
        <f t="shared" si="12"/>
        <v>0.3794315778614536</v>
      </c>
      <c r="D54" s="18">
        <f>INDEX(MAC!$H$3:$H$16,MATCH($A54,MAC!$A$3:$A$16,0))</f>
        <v>122.32505440840811</v>
      </c>
      <c r="E54" s="18">
        <f t="shared" si="13"/>
        <v>0.46413988406170448</v>
      </c>
      <c r="F54" s="21"/>
      <c r="G54" s="55"/>
      <c r="H54" s="91" t="s">
        <v>40</v>
      </c>
      <c r="I54" s="91">
        <v>202220</v>
      </c>
      <c r="J54" s="91"/>
      <c r="K54" s="91"/>
      <c r="L54" s="91"/>
      <c r="M54" s="5">
        <f t="shared" si="14"/>
        <v>98.428726733051704</v>
      </c>
      <c r="N54" s="6" t="e">
        <f>100*J54*K54*(L54*0.00000001^3)^2*M54/INDEX('Reference-aQuartz'!$H$4:$H$17,MATCH($B$44,'Reference-aQuartz'!$A$4:$A$17,0))</f>
        <v>#N/A</v>
      </c>
      <c r="O54" s="32" t="e">
        <f t="shared" si="15"/>
        <v>#N/A</v>
      </c>
      <c r="P54" s="31" t="e">
        <f t="shared" si="11"/>
        <v>#N/A</v>
      </c>
      <c r="Q54" s="69"/>
      <c r="R54" s="92" t="s">
        <v>84</v>
      </c>
      <c r="S54" s="69">
        <f>SUM(S49:S53)</f>
        <v>89.764475058382274</v>
      </c>
      <c r="T54" s="69" t="e">
        <f>SUM(T49:T53)</f>
        <v>#N/A</v>
      </c>
    </row>
    <row r="55" spans="1:22" x14ac:dyDescent="0.25">
      <c r="A55" s="1" t="s">
        <v>57</v>
      </c>
      <c r="B55" s="12">
        <f>0.65*'LA-Ref 0.6'!B12+0.35*B12</f>
        <v>3.1400000000000006</v>
      </c>
      <c r="C55" s="18">
        <f t="shared" si="12"/>
        <v>3.135303038118328</v>
      </c>
      <c r="D55" s="18">
        <f>INDEX(MAC!$H$3:$H$16,MATCH($A55,MAC!$A$3:$A$16,0))</f>
        <v>44.261072668681777</v>
      </c>
      <c r="E55" s="18">
        <f t="shared" si="13"/>
        <v>1.3877187560849407</v>
      </c>
      <c r="F55" s="21"/>
      <c r="G55" s="55"/>
      <c r="H55" s="91" t="s">
        <v>25</v>
      </c>
      <c r="I55" s="91">
        <v>73446</v>
      </c>
      <c r="J55" s="65"/>
      <c r="K55" s="91"/>
      <c r="L55" s="91"/>
      <c r="M55" s="5">
        <f t="shared" si="14"/>
        <v>98.428726733051704</v>
      </c>
      <c r="N55" s="6" t="e">
        <f>100*J55*K55*(L55*0.00000001^3)^2*M55/INDEX('Reference-aQuartz'!$H$4:$H$17,MATCH($B$44,'Reference-aQuartz'!$A$4:$A$17,0))</f>
        <v>#N/A</v>
      </c>
      <c r="O55" s="32" t="e">
        <f t="shared" si="15"/>
        <v>#N/A</v>
      </c>
      <c r="P55" s="31" t="e">
        <f t="shared" si="11"/>
        <v>#N/A</v>
      </c>
      <c r="Q55" s="69"/>
    </row>
    <row r="56" spans="1:22" x14ac:dyDescent="0.25">
      <c r="A56" s="1" t="s">
        <v>14</v>
      </c>
      <c r="B56" s="12">
        <f>0.65*'LA-Ref 0.6'!B13+0.35*B13</f>
        <v>0.13</v>
      </c>
      <c r="C56" s="18">
        <f t="shared" si="12"/>
        <v>0.12980553979470782</v>
      </c>
      <c r="D56" s="18">
        <f>INDEX(MAC!$H$3:$H$16,MATCH($A56,MAC!$A$3:$A$16,0))</f>
        <v>97.328178229861322</v>
      </c>
      <c r="E56" s="18">
        <f t="shared" si="13"/>
        <v>0.12633736712362681</v>
      </c>
      <c r="F56" s="21"/>
      <c r="G56" s="55"/>
      <c r="H56" s="91" t="s">
        <v>21</v>
      </c>
      <c r="I56" s="91">
        <v>62405</v>
      </c>
      <c r="J56" s="65"/>
      <c r="K56" s="91"/>
      <c r="L56" s="91"/>
      <c r="M56" s="5">
        <f t="shared" si="14"/>
        <v>98.428726733051704</v>
      </c>
      <c r="N56" s="6" t="e">
        <f>100*J56*K56*(L56*0.00000001^3)^2*M56/INDEX('Reference-aQuartz'!$H$4:$H$17,MATCH($B$44,'Reference-aQuartz'!$A$4:$A$17,0))</f>
        <v>#N/A</v>
      </c>
      <c r="O56" s="32" t="e">
        <f t="shared" si="15"/>
        <v>#N/A</v>
      </c>
      <c r="P56" s="31" t="e">
        <f t="shared" si="11"/>
        <v>#N/A</v>
      </c>
      <c r="Q56" s="69"/>
    </row>
    <row r="57" spans="1:22" x14ac:dyDescent="0.25">
      <c r="A57" s="1" t="s">
        <v>58</v>
      </c>
      <c r="B57" s="12">
        <f>0.65*'LA-Ref 0.6'!B14+0.35*B14</f>
        <v>0.33</v>
      </c>
      <c r="C57" s="18">
        <f t="shared" si="12"/>
        <v>0.32950637024810447</v>
      </c>
      <c r="D57" s="18">
        <f>INDEX(MAC!$H$3:$H$16,MATCH($A57,MAC!$A$3:$A$16,0))</f>
        <v>19.10926020222594</v>
      </c>
      <c r="E57" s="18">
        <f t="shared" si="13"/>
        <v>6.2966229673620283E-2</v>
      </c>
      <c r="F57" s="21"/>
      <c r="G57" s="55"/>
      <c r="H57" s="91" t="s">
        <v>87</v>
      </c>
      <c r="I57" s="91">
        <v>155395</v>
      </c>
      <c r="J57" s="65"/>
      <c r="K57" s="91"/>
      <c r="L57" s="91"/>
      <c r="M57" s="5">
        <f t="shared" si="14"/>
        <v>98.428726733051704</v>
      </c>
      <c r="N57" s="6" t="e">
        <f>100*J57*K57*(L57*0.00000001^3)^2*M57/INDEX('Reference-aQuartz'!$H$4:$H$17,MATCH($B$44,'Reference-aQuartz'!$A$4:$A$17,0))</f>
        <v>#N/A</v>
      </c>
      <c r="O57" s="32" t="e">
        <f t="shared" si="15"/>
        <v>#N/A</v>
      </c>
      <c r="P57" s="31" t="e">
        <f t="shared" si="11"/>
        <v>#N/A</v>
      </c>
      <c r="Q57" s="69"/>
    </row>
    <row r="58" spans="1:22" x14ac:dyDescent="0.25">
      <c r="A58" s="1" t="s">
        <v>59</v>
      </c>
      <c r="B58" s="12">
        <f>0.65*'LA-Ref 0.6'!B15+0.35*B15</f>
        <v>0.19</v>
      </c>
      <c r="C58" s="18">
        <f t="shared" si="12"/>
        <v>0.1897157889307268</v>
      </c>
      <c r="D58" s="18">
        <f>INDEX(MAC!$H$3:$H$16,MATCH($A58,MAC!$A$3:$A$16,0))</f>
        <v>124.47726788956365</v>
      </c>
      <c r="E58" s="18">
        <f t="shared" si="13"/>
        <v>0.23615303081609995</v>
      </c>
      <c r="F58" s="21"/>
      <c r="G58" s="55"/>
      <c r="H58" s="91" t="s">
        <v>88</v>
      </c>
      <c r="I58" s="91">
        <v>81963</v>
      </c>
      <c r="J58" s="82"/>
      <c r="K58" s="91"/>
      <c r="L58" s="91"/>
      <c r="M58" s="5">
        <f t="shared" si="14"/>
        <v>98.428726733051704</v>
      </c>
      <c r="N58" s="6" t="e">
        <f>100*J58*K58*(L58*0.00000001^3)^2*M58/INDEX('Reference-aQuartz'!$H$4:$H$17,MATCH($B$44,'Reference-aQuartz'!$A$4:$A$17,0))</f>
        <v>#N/A</v>
      </c>
      <c r="O58" s="32" t="e">
        <f t="shared" si="15"/>
        <v>#N/A</v>
      </c>
      <c r="P58" s="31" t="e">
        <f t="shared" si="11"/>
        <v>#N/A</v>
      </c>
      <c r="Q58" s="69"/>
    </row>
    <row r="59" spans="1:22" x14ac:dyDescent="0.25">
      <c r="A59" s="1" t="s">
        <v>60</v>
      </c>
      <c r="B59" s="12">
        <f>0.65*'LA-Ref 0.6'!B16+0.35*B16</f>
        <v>0.26</v>
      </c>
      <c r="C59" s="18">
        <f t="shared" si="12"/>
        <v>0.25961107958941565</v>
      </c>
      <c r="D59" s="18">
        <f>INDEX(MAC!$H$3:$H$16,MATCH($A59,MAC!$A$3:$A$16,0))</f>
        <v>39.431437267071992</v>
      </c>
      <c r="E59" s="18">
        <f t="shared" si="13"/>
        <v>0.10236837998666877</v>
      </c>
      <c r="F59" s="21"/>
      <c r="G59" s="55"/>
      <c r="H59" s="91" t="s">
        <v>89</v>
      </c>
      <c r="I59" s="91">
        <v>59327</v>
      </c>
      <c r="J59" s="65"/>
      <c r="K59" s="91"/>
      <c r="L59" s="91"/>
      <c r="M59" s="5">
        <f t="shared" si="14"/>
        <v>98.428726733051704</v>
      </c>
      <c r="N59" s="6" t="e">
        <f>100*J59*K59*(L59*0.00000001^3)^2*M59/INDEX('Reference-aQuartz'!$H$4:$H$17,MATCH($B$44,'Reference-aQuartz'!$A$4:$A$17,0))</f>
        <v>#N/A</v>
      </c>
      <c r="O59" s="32" t="e">
        <f t="shared" si="15"/>
        <v>#N/A</v>
      </c>
      <c r="P59" s="31" t="e">
        <f t="shared" si="11"/>
        <v>#N/A</v>
      </c>
      <c r="Q59" s="69"/>
    </row>
    <row r="60" spans="1:22" x14ac:dyDescent="0.25">
      <c r="A60" s="19" t="s">
        <v>23</v>
      </c>
      <c r="B60" s="12">
        <f>0.65*'LA-Ref 0.6'!B17+0.35*B17</f>
        <v>3.5000000000000003E-2</v>
      </c>
      <c r="C60" s="18">
        <f t="shared" si="12"/>
        <v>3.4947645329344419E-2</v>
      </c>
      <c r="D60" s="18">
        <f>INDEX(MAC!$H$3:$H$16,MATCH($A60,MAC!$A$3:$A$16,0))</f>
        <v>197.69998688868492</v>
      </c>
      <c r="E60" s="18">
        <f t="shared" si="13"/>
        <v>6.9091490234018019E-2</v>
      </c>
      <c r="F60" s="21"/>
      <c r="G60" s="55"/>
      <c r="H60" s="91" t="s">
        <v>90</v>
      </c>
      <c r="I60" s="91">
        <v>2105252</v>
      </c>
      <c r="J60" s="65"/>
      <c r="K60" s="91"/>
      <c r="L60" s="91"/>
      <c r="M60" s="5">
        <f t="shared" si="14"/>
        <v>98.428726733051704</v>
      </c>
      <c r="N60" s="6" t="e">
        <f>100*J60*K60*(L60*0.00000001^3)^2*M60/INDEX('Reference-aQuartz'!$H$4:$H$17,MATCH($B$44,'Reference-aQuartz'!$A$4:$A$17,0))</f>
        <v>#N/A</v>
      </c>
      <c r="O60" s="32" t="e">
        <f t="shared" si="15"/>
        <v>#N/A</v>
      </c>
      <c r="P60" s="31" t="e">
        <f t="shared" si="11"/>
        <v>#N/A</v>
      </c>
      <c r="Q60" s="69"/>
    </row>
    <row r="61" spans="1:22" x14ac:dyDescent="0.25">
      <c r="A61" s="1" t="s">
        <v>66</v>
      </c>
      <c r="B61" s="12">
        <f>0.65*'LA-Ref 0.6'!B18+0.35*B18</f>
        <v>3.21</v>
      </c>
      <c r="C61" s="18">
        <f>B61</f>
        <v>3.21</v>
      </c>
      <c r="D61" s="18">
        <f>INDEX(MAC!$H$3:$H$16,MATCH($A61,MAC!$A$3:$A$16,0))</f>
        <v>9.592279079279237</v>
      </c>
      <c r="E61" s="18">
        <f t="shared" si="13"/>
        <v>0.30791215844486347</v>
      </c>
      <c r="F61" s="21"/>
      <c r="G61" s="55"/>
      <c r="H61" s="21"/>
      <c r="I61" s="21"/>
      <c r="J61" s="21"/>
      <c r="K61" s="21"/>
      <c r="L61" s="21"/>
      <c r="M61" s="5">
        <f t="shared" si="14"/>
        <v>98.428726733051704</v>
      </c>
      <c r="N61" s="6" t="e">
        <f>100*J61*K61*(L61*0.00000001^3)^2*M61/INDEX('Reference-aQuartz'!$H$4:$H$17,MATCH($B$44,'Reference-aQuartz'!$A$4:$A$17,0))</f>
        <v>#N/A</v>
      </c>
      <c r="O61" s="32" t="e">
        <f t="shared" si="15"/>
        <v>#N/A</v>
      </c>
      <c r="P61" s="31" t="e">
        <f t="shared" si="11"/>
        <v>#N/A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107" t="s">
        <v>7</v>
      </c>
      <c r="I62" s="108"/>
      <c r="J62" s="108"/>
      <c r="K62" s="108"/>
      <c r="L62" s="108"/>
      <c r="M62" s="109"/>
      <c r="N62" s="6" t="e">
        <f>SUM(N49:N61)</f>
        <v>#N/A</v>
      </c>
      <c r="O62" s="31" t="e">
        <f t="shared" ref="O62:P62" si="17">SUM(O49:O61)</f>
        <v>#N/A</v>
      </c>
      <c r="P62" s="31" t="e">
        <f t="shared" si="17"/>
        <v>#N/A</v>
      </c>
    </row>
    <row r="63" spans="1:22" x14ac:dyDescent="0.25">
      <c r="A63" s="91" t="s">
        <v>7</v>
      </c>
      <c r="B63" s="40">
        <f>SUM(B49:B60)</f>
        <v>96.934999999999988</v>
      </c>
      <c r="C63" s="40">
        <f>SUM(C49:C61)</f>
        <v>100</v>
      </c>
      <c r="D63" s="91" t="s">
        <v>29</v>
      </c>
      <c r="E63" s="56">
        <f>SUM(E49:E61)</f>
        <v>98.428726733051704</v>
      </c>
      <c r="F63" s="41">
        <f>E63*(1-C45)+D62*C45</f>
        <v>98.428726733051704</v>
      </c>
      <c r="H63" s="107" t="s">
        <v>28</v>
      </c>
      <c r="I63" s="108"/>
      <c r="J63" s="108"/>
      <c r="K63" s="108"/>
      <c r="L63" s="108"/>
      <c r="M63" s="109"/>
      <c r="N63" s="6" t="e">
        <f>100-N62</f>
        <v>#N/A</v>
      </c>
      <c r="O63" s="31" t="e">
        <f>100-O62</f>
        <v>#N/A</v>
      </c>
      <c r="P63" s="31" t="e">
        <f>100-P62</f>
        <v>#N/A</v>
      </c>
    </row>
  </sheetData>
  <mergeCells count="14">
    <mergeCell ref="H62:M62"/>
    <mergeCell ref="H63:M63"/>
    <mergeCell ref="H40:M40"/>
    <mergeCell ref="H41:M41"/>
    <mergeCell ref="R49:R50"/>
    <mergeCell ref="S49:S50"/>
    <mergeCell ref="T49:T50"/>
    <mergeCell ref="U49:U50"/>
    <mergeCell ref="H18:M18"/>
    <mergeCell ref="H19:M19"/>
    <mergeCell ref="R27:R28"/>
    <mergeCell ref="S27:S28"/>
    <mergeCell ref="T27:T28"/>
    <mergeCell ref="U27:U2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5815D-9FDD-4E52-B283-C87DE76466D7}">
  <sheetPr>
    <tabColor theme="9"/>
  </sheetPr>
  <dimension ref="A1:AV63"/>
  <sheetViews>
    <sheetView zoomScaleNormal="100" workbookViewId="0">
      <selection activeCell="G15" sqref="G15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5.710937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42" t="s">
        <v>32</v>
      </c>
      <c r="B1" s="43">
        <v>44977</v>
      </c>
      <c r="H1" s="38" t="s">
        <v>20</v>
      </c>
      <c r="I1" s="38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>
        <v>8.11</v>
      </c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93" t="s">
        <v>8</v>
      </c>
      <c r="B4" s="93" t="s">
        <v>30</v>
      </c>
      <c r="C4" s="93" t="s">
        <v>31</v>
      </c>
      <c r="D4" s="93" t="s">
        <v>68</v>
      </c>
      <c r="E4" s="93" t="s">
        <v>69</v>
      </c>
      <c r="H4" s="93" t="s">
        <v>9</v>
      </c>
      <c r="I4" s="95" t="s">
        <v>86</v>
      </c>
      <c r="J4" s="93" t="s">
        <v>2</v>
      </c>
      <c r="K4" s="93" t="s">
        <v>3</v>
      </c>
      <c r="L4" s="93" t="s">
        <v>4</v>
      </c>
      <c r="M4" s="93" t="s">
        <v>5</v>
      </c>
      <c r="N4" s="5" t="s">
        <v>15</v>
      </c>
      <c r="O4" s="5" t="s">
        <v>111</v>
      </c>
      <c r="P4" s="5" t="s">
        <v>110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93" t="s">
        <v>11</v>
      </c>
      <c r="B5" s="93" t="s">
        <v>93</v>
      </c>
      <c r="C5" s="93" t="s">
        <v>93</v>
      </c>
      <c r="D5" s="93" t="s">
        <v>13</v>
      </c>
      <c r="E5" s="93" t="s">
        <v>13</v>
      </c>
      <c r="H5" s="93" t="s">
        <v>11</v>
      </c>
      <c r="I5" s="93" t="s">
        <v>11</v>
      </c>
      <c r="J5" s="93" t="s">
        <v>11</v>
      </c>
      <c r="K5" s="93" t="s">
        <v>16</v>
      </c>
      <c r="L5" s="93" t="s">
        <v>19</v>
      </c>
      <c r="M5" s="93" t="s">
        <v>13</v>
      </c>
      <c r="N5" s="5" t="s">
        <v>12</v>
      </c>
      <c r="O5" s="5"/>
      <c r="P5" s="5" t="s">
        <v>12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19.2</v>
      </c>
      <c r="C6" s="18">
        <f t="shared" ref="C6:C17" si="0">B6*(100-B$18)/B$19</f>
        <v>19.220926973581772</v>
      </c>
      <c r="D6" s="18">
        <f>INDEX(MAC!$H$3:$H$16,MATCH('HA-Ref'!$A6,MAC!$A$3:$A$16,0))</f>
        <v>35.900659077291785</v>
      </c>
      <c r="E6" s="18">
        <f>C6*D6/100</f>
        <v>6.9004394642808098</v>
      </c>
      <c r="F6" s="39"/>
      <c r="G6" s="39"/>
      <c r="H6" s="93" t="s">
        <v>34</v>
      </c>
      <c r="I6" s="93"/>
      <c r="J6" s="93">
        <v>1.948E-5</v>
      </c>
      <c r="K6" s="93">
        <v>3.17</v>
      </c>
      <c r="L6" s="93">
        <v>2155.431</v>
      </c>
      <c r="M6" s="5">
        <f t="shared" ref="M6:M17" si="1">$E$19</f>
        <v>95.625531597430623</v>
      </c>
      <c r="N6" s="6">
        <f>100*J6*K6*(L6*0.00000001^3)^2*M6/INDEX('Reference-aQuartz'!$H$4:$H$17,MATCH($B$1,'Reference-aQuartz'!$A$4:$A$17,0))</f>
        <v>35.943854549748941</v>
      </c>
      <c r="O6" s="80">
        <f>J6*K6*(L6*0.00000001^3)^2</f>
        <v>2.8689069605071507E-46</v>
      </c>
      <c r="P6" s="32">
        <f>100*O6/SUM($O$6:$O$17)</f>
        <v>41.932195542533094</v>
      </c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5.0999999999999996</v>
      </c>
      <c r="C7" s="18">
        <f t="shared" si="0"/>
        <v>5.1055587273576579</v>
      </c>
      <c r="D7" s="18">
        <f>INDEX(MAC!$H$3:$H$16,MATCH('HA-Ref'!$A7,MAC!$A$3:$A$16,0))</f>
        <v>31.664851266660783</v>
      </c>
      <c r="E7" s="18">
        <f t="shared" ref="E7:E18" si="2">C7*D7/100</f>
        <v>1.6166675773498216</v>
      </c>
      <c r="F7" s="39"/>
      <c r="G7" s="39"/>
      <c r="H7" s="93" t="s">
        <v>35</v>
      </c>
      <c r="I7" s="93">
        <v>94742</v>
      </c>
      <c r="J7" s="93">
        <v>2.5299999999999999E-6</v>
      </c>
      <c r="K7" s="93">
        <v>3.17</v>
      </c>
      <c r="L7" s="93">
        <v>4303.1239999999998</v>
      </c>
      <c r="M7" s="5">
        <f t="shared" si="1"/>
        <v>95.625531597430623</v>
      </c>
      <c r="N7" s="6">
        <f>100*J7*K7*(L7*0.00000001^3)^2*M7/INDEX('Reference-aQuartz'!$H$4:$H$17,MATCH($B$1,'Reference-aQuartz'!$A$4:$A$17,0))</f>
        <v>18.606114507878967</v>
      </c>
      <c r="O7" s="80">
        <f t="shared" ref="O7:O17" si="3">J7*K7*(L7*0.00000001^3)^2</f>
        <v>1.4850719848581149E-46</v>
      </c>
      <c r="P7" s="32">
        <f t="shared" ref="P7:P17" si="4">100*O7/SUM($O$6:$O$17)</f>
        <v>21.705942270362101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2.99</v>
      </c>
      <c r="C8" s="18">
        <f t="shared" si="0"/>
        <v>2.9932589401567453</v>
      </c>
      <c r="D8" s="18">
        <f>INDEX(MAC!$H$3:$H$16,MATCH('HA-Ref'!$A8,MAC!$A$3:$A$16,0))</f>
        <v>214.68463619455559</v>
      </c>
      <c r="E8" s="18">
        <f t="shared" si="2"/>
        <v>6.4260670660365191</v>
      </c>
      <c r="F8" s="39"/>
      <c r="G8" s="39"/>
      <c r="H8" s="93" t="s">
        <v>36</v>
      </c>
      <c r="I8" s="93">
        <v>81096</v>
      </c>
      <c r="J8" s="93">
        <v>1.4364E-4</v>
      </c>
      <c r="K8" s="93">
        <v>3.29</v>
      </c>
      <c r="L8" s="93">
        <v>347.68049999999999</v>
      </c>
      <c r="M8" s="5">
        <f t="shared" si="1"/>
        <v>95.625531597430623</v>
      </c>
      <c r="N8" s="6">
        <f>100*J8*K8*(L8*0.00000001^3)^2*M8/INDEX('Reference-aQuartz'!$H$4:$H$17,MATCH($B$1,'Reference-aQuartz'!$A$4:$A$17,0))</f>
        <v>7.1571504316761763</v>
      </c>
      <c r="O8" s="80">
        <f t="shared" si="3"/>
        <v>5.7125756121712204E-47</v>
      </c>
      <c r="P8" s="32">
        <f t="shared" si="4"/>
        <v>8.3495505751334811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2.4</v>
      </c>
      <c r="C9" s="18">
        <f t="shared" si="0"/>
        <v>2.4026158716977215</v>
      </c>
      <c r="D9" s="18">
        <f>INDEX(MAC!$H$3:$H$16,MATCH('HA-Ref'!$A9,MAC!$A$3:$A$16,0))</f>
        <v>28.686693628423974</v>
      </c>
      <c r="E9" s="18">
        <f t="shared" si="2"/>
        <v>0.68923105418181341</v>
      </c>
      <c r="F9" s="39"/>
      <c r="G9" s="39"/>
      <c r="H9" s="93" t="s">
        <v>37</v>
      </c>
      <c r="I9" s="93">
        <v>1841</v>
      </c>
      <c r="J9" s="93">
        <v>1.19E-6</v>
      </c>
      <c r="K9" s="93">
        <v>3.04</v>
      </c>
      <c r="L9" s="93">
        <v>3541.2550000000001</v>
      </c>
      <c r="M9" s="5">
        <f t="shared" si="1"/>
        <v>95.625531597430623</v>
      </c>
      <c r="N9" s="6">
        <f>100*J9*K9*(L9*0.00000001^3)^2*M9/INDEX('Reference-aQuartz'!$H$4:$H$17,MATCH($B$1,'Reference-aQuartz'!$A$4:$A$17,0))</f>
        <v>5.6838568357769566</v>
      </c>
      <c r="O9" s="80">
        <f t="shared" si="3"/>
        <v>4.5366465680850459E-47</v>
      </c>
      <c r="P9" s="32">
        <f t="shared" si="4"/>
        <v>6.6308023794077888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60.6</v>
      </c>
      <c r="C10" s="18">
        <f t="shared" si="0"/>
        <v>60.666050760367476</v>
      </c>
      <c r="D10" s="18">
        <f>INDEX(MAC!$H$3:$H$16,MATCH('HA-Ref'!$A10,MAC!$A$3:$A$16,0))</f>
        <v>124.77929454143408</v>
      </c>
      <c r="E10" s="18">
        <f t="shared" si="2"/>
        <v>75.698670164934853</v>
      </c>
      <c r="F10" s="39"/>
      <c r="G10" s="39"/>
      <c r="H10" s="93" t="s">
        <v>38</v>
      </c>
      <c r="I10" s="93">
        <v>98836</v>
      </c>
      <c r="J10" s="93">
        <v>9.9770000000000002E-5</v>
      </c>
      <c r="K10" s="93">
        <v>3.75</v>
      </c>
      <c r="L10" s="93">
        <v>431.18020000000001</v>
      </c>
      <c r="M10" s="5">
        <f t="shared" si="1"/>
        <v>95.625531597430623</v>
      </c>
      <c r="N10" s="6">
        <f>100*J10*K10*(L10*0.00000001^3)^2*M10/INDEX('Reference-aQuartz'!$H$4:$H$17,MATCH($B$1,'Reference-aQuartz'!$A$4:$A$17,0))</f>
        <v>8.7147923438741888</v>
      </c>
      <c r="O10" s="80">
        <f t="shared" si="3"/>
        <v>6.9558283962312899E-47</v>
      </c>
      <c r="P10" s="32">
        <f t="shared" si="4"/>
        <v>10.166699739175728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1.18</v>
      </c>
      <c r="C11" s="18">
        <f t="shared" si="0"/>
        <v>1.1812861369180463</v>
      </c>
      <c r="D11" s="18">
        <f>INDEX(MAC!$H$3:$H$16,MATCH('HA-Ref'!$A11,MAC!$A$3:$A$16,0))</f>
        <v>122.32505440840811</v>
      </c>
      <c r="E11" s="18">
        <f t="shared" si="2"/>
        <v>1.4450089097039824</v>
      </c>
      <c r="F11" s="39"/>
      <c r="G11" s="39"/>
      <c r="H11" s="93" t="s">
        <v>39</v>
      </c>
      <c r="I11" s="93">
        <v>79529</v>
      </c>
      <c r="J11" s="93">
        <v>6.7399999999999998E-6</v>
      </c>
      <c r="K11" s="93">
        <v>2.73</v>
      </c>
      <c r="L11" s="93">
        <v>1059.385</v>
      </c>
      <c r="M11" s="5">
        <f t="shared" si="1"/>
        <v>95.625531597430623</v>
      </c>
      <c r="N11" s="6">
        <f>100*J11*K11*(L11*0.00000001^3)^2*M11/INDEX('Reference-aQuartz'!$H$4:$H$17,MATCH($B$1,'Reference-aQuartz'!$A$4:$A$17,0))</f>
        <v>2.5872498257620307</v>
      </c>
      <c r="O11" s="80">
        <f t="shared" si="3"/>
        <v>2.0650481498655652E-47</v>
      </c>
      <c r="P11" s="32">
        <f t="shared" si="4"/>
        <v>3.0182924722522815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3.81</v>
      </c>
      <c r="C12" s="18">
        <f t="shared" si="0"/>
        <v>3.8141526963201331</v>
      </c>
      <c r="D12" s="18">
        <f>INDEX(MAC!$H$3:$H$16,MATCH('HA-Ref'!$A12,MAC!$A$3:$A$16,0))</f>
        <v>44.261072668681777</v>
      </c>
      <c r="E12" s="18">
        <f t="shared" si="2"/>
        <v>1.6881848966127395</v>
      </c>
      <c r="F12" s="39"/>
      <c r="G12" s="39"/>
      <c r="H12" s="93" t="s">
        <v>25</v>
      </c>
      <c r="I12" s="93">
        <v>73446</v>
      </c>
      <c r="J12" s="65">
        <v>6.3120000000000006E-5</v>
      </c>
      <c r="K12" s="93">
        <v>2.72</v>
      </c>
      <c r="L12" s="93">
        <v>367.14260000000002</v>
      </c>
      <c r="M12" s="5">
        <f t="shared" si="1"/>
        <v>95.625531597430623</v>
      </c>
      <c r="N12" s="6">
        <f>100*J12*K12*(L12*0.00000001^3)^2*M12/INDEX('Reference-aQuartz'!$H$4:$H$17,MATCH($B$1,'Reference-aQuartz'!$A$4:$A$17,0))</f>
        <v>2.8994367318489909</v>
      </c>
      <c r="O12" s="80">
        <f t="shared" si="3"/>
        <v>2.3142243161591509E-47</v>
      </c>
      <c r="P12" s="32">
        <f t="shared" si="4"/>
        <v>3.3824905404850116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0.08</v>
      </c>
      <c r="C13" s="18">
        <f t="shared" si="0"/>
        <v>8.0087195723257384E-2</v>
      </c>
      <c r="D13" s="18">
        <f>INDEX(MAC!$H$3:$H$16,MATCH('HA-Ref'!$A13,MAC!$A$3:$A$16,0))</f>
        <v>97.328178229861322</v>
      </c>
      <c r="E13" s="18">
        <f t="shared" si="2"/>
        <v>7.7947408592829823E-2</v>
      </c>
      <c r="F13" s="39"/>
      <c r="G13" s="39"/>
      <c r="H13" s="93" t="s">
        <v>108</v>
      </c>
      <c r="I13" s="93">
        <v>4332</v>
      </c>
      <c r="J13" s="93">
        <v>6.0399999999999998E-6</v>
      </c>
      <c r="K13" s="93">
        <v>2.97</v>
      </c>
      <c r="L13" s="93">
        <v>1076.5219999999999</v>
      </c>
      <c r="M13" s="5">
        <f t="shared" si="1"/>
        <v>95.625531597430623</v>
      </c>
      <c r="N13" s="6">
        <f>100*J13*K13*(L13*0.00000001^3)^2*M13/INDEX('Reference-aQuartz'!$H$4:$H$17,MATCH($B$1,'Reference-aQuartz'!$A$4:$A$17,0))</f>
        <v>2.6046381123406523</v>
      </c>
      <c r="O13" s="80">
        <f t="shared" si="3"/>
        <v>2.0789268440183183E-47</v>
      </c>
      <c r="P13" s="32">
        <f t="shared" si="4"/>
        <v>3.0385776932475759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0.45</v>
      </c>
      <c r="C14" s="18">
        <f t="shared" si="0"/>
        <v>0.45049047594332287</v>
      </c>
      <c r="D14" s="18">
        <f>INDEX(MAC!$H$3:$H$16,MATCH('HA-Ref'!$A14,MAC!$A$3:$A$16,0))</f>
        <v>19.10926020222594</v>
      </c>
      <c r="E14" s="18">
        <f t="shared" si="2"/>
        <v>8.6085397234255623E-2</v>
      </c>
      <c r="F14" s="39"/>
      <c r="G14" s="39"/>
      <c r="H14" s="93" t="s">
        <v>21</v>
      </c>
      <c r="I14" s="93">
        <v>174</v>
      </c>
      <c r="J14" s="93">
        <v>1.1828E-4</v>
      </c>
      <c r="K14" s="93">
        <v>2.63</v>
      </c>
      <c r="L14" s="93">
        <v>113.0067</v>
      </c>
      <c r="M14" s="5">
        <f t="shared" si="1"/>
        <v>95.625531597430623</v>
      </c>
      <c r="N14" s="6">
        <f>100*J14*K14*(L14*0.00000001^3)^2*M14/INDEX('Reference-aQuartz'!$H$4:$H$17,MATCH($B$1,'Reference-aQuartz'!$A$4:$A$17,0))</f>
        <v>0.49771832877071454</v>
      </c>
      <c r="O14" s="80">
        <f t="shared" si="3"/>
        <v>3.9726055974490997E-48</v>
      </c>
      <c r="P14" s="32">
        <f t="shared" si="4"/>
        <v>0.58063951539282399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0.35</v>
      </c>
      <c r="C15" s="18">
        <f t="shared" si="0"/>
        <v>0.35038148128925106</v>
      </c>
      <c r="D15" s="18">
        <f>INDEX(MAC!$H$3:$H$16,MATCH('HA-Ref'!$A15,MAC!$A$3:$A$16,0))</f>
        <v>124.47726788956365</v>
      </c>
      <c r="E15" s="18">
        <f t="shared" si="2"/>
        <v>0.43614529509984235</v>
      </c>
      <c r="F15" s="39"/>
      <c r="G15" s="39"/>
      <c r="H15" s="93" t="s">
        <v>101</v>
      </c>
      <c r="I15" s="93">
        <v>9863</v>
      </c>
      <c r="J15" s="93">
        <v>3.8945000000000001E-4</v>
      </c>
      <c r="K15" s="93">
        <v>3.58</v>
      </c>
      <c r="L15" s="93">
        <v>74.806340000000006</v>
      </c>
      <c r="M15" s="5">
        <f t="shared" si="1"/>
        <v>95.625531597430623</v>
      </c>
      <c r="N15" s="6">
        <f>100*J15*K15*(L15*0.00000001^3)^2*M15/INDEX('Reference-aQuartz'!$H$4:$H$17,MATCH($B$1,'Reference-aQuartz'!$A$4:$A$17,0))</f>
        <v>0.97750667672952973</v>
      </c>
      <c r="O15" s="80">
        <f t="shared" si="3"/>
        <v>7.8021006481931391E-48</v>
      </c>
      <c r="P15" s="32">
        <f t="shared" si="4"/>
        <v>1.1403618678687488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0.08</v>
      </c>
      <c r="C16" s="18">
        <f t="shared" si="0"/>
        <v>8.0087195723257384E-2</v>
      </c>
      <c r="D16" s="18">
        <f>INDEX(MAC!$H$3:$H$16,MATCH('HA-Ref'!$A16,MAC!$A$3:$A$16,0))</f>
        <v>39.431437267071992</v>
      </c>
      <c r="E16" s="18">
        <f t="shared" si="2"/>
        <v>3.1579532340573396E-2</v>
      </c>
      <c r="F16" s="39"/>
      <c r="G16" s="39"/>
      <c r="H16" s="93" t="s">
        <v>119</v>
      </c>
      <c r="I16" s="93">
        <v>26018</v>
      </c>
      <c r="J16" s="93">
        <v>3.3299999999999999E-6</v>
      </c>
      <c r="K16" s="93">
        <v>2.72</v>
      </c>
      <c r="L16" s="93">
        <v>202.79929999999999</v>
      </c>
      <c r="M16" s="5">
        <f t="shared" si="1"/>
        <v>95.625531597430623</v>
      </c>
      <c r="N16" s="6">
        <f>100*J16*K16*(L16*0.00000001^3)^2*M16/INDEX('Reference-aQuartz'!$H$4:$H$17,MATCH($B$1,'Reference-aQuartz'!$A$4:$A$17,0))</f>
        <v>4.6671764970749201E-2</v>
      </c>
      <c r="O16" s="80">
        <f t="shared" si="3"/>
        <v>3.7251695195464631E-49</v>
      </c>
      <c r="P16" s="32">
        <f t="shared" si="4"/>
        <v>5.444740414136446E-2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9.5000000000000001E-2</v>
      </c>
      <c r="C17" s="18">
        <f t="shared" si="0"/>
        <v>9.5103544921368147E-2</v>
      </c>
      <c r="D17" s="18">
        <f>INDEX(MAC!$H$3:$H$16,MATCH('HA-Ref'!$A17,MAC!$A$3:$A$16,0))</f>
        <v>197.69998688868492</v>
      </c>
      <c r="E17" s="18">
        <f t="shared" si="2"/>
        <v>0.18801969584021941</v>
      </c>
      <c r="H17" s="21"/>
      <c r="I17" s="21"/>
      <c r="J17" s="21"/>
      <c r="K17" s="21"/>
      <c r="L17" s="21"/>
      <c r="M17" s="5">
        <f t="shared" si="1"/>
        <v>95.625531597430623</v>
      </c>
      <c r="N17" s="37">
        <f>100*J17*K17*(L17*0.00000001^3)^2*M17/INDEX('Reference-aQuartz'!$H$4:$H$17,MATCH($B$1,'Reference-aQuartz'!$A$4:$A$17,0))</f>
        <v>0</v>
      </c>
      <c r="O17" s="80">
        <f t="shared" si="3"/>
        <v>0</v>
      </c>
      <c r="P17" s="32">
        <f t="shared" si="4"/>
        <v>0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3.56</v>
      </c>
      <c r="C18" s="18">
        <f>B18</f>
        <v>3.56</v>
      </c>
      <c r="D18" s="18">
        <f>INDEX(MAC!$H$3:$H$16,MATCH('HA-Ref'!$A18,MAC!$A$3:$A$16,0))</f>
        <v>9.592279079279237</v>
      </c>
      <c r="E18" s="18">
        <f t="shared" si="2"/>
        <v>0.34148513522234081</v>
      </c>
      <c r="H18" s="104" t="s">
        <v>7</v>
      </c>
      <c r="I18" s="105"/>
      <c r="J18" s="105"/>
      <c r="K18" s="105"/>
      <c r="L18" s="105"/>
      <c r="M18" s="106"/>
      <c r="N18" s="37">
        <f>SUM(N6:N17)</f>
        <v>85.718990109377913</v>
      </c>
      <c r="O18" s="79"/>
      <c r="P18" s="32">
        <f>SUM(P6:P17)</f>
        <v>99.999999999999986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93" t="s">
        <v>7</v>
      </c>
      <c r="B19" s="40">
        <f>SUM(B6:B17)</f>
        <v>96.334999999999994</v>
      </c>
      <c r="C19" s="40">
        <f>SUM(C6:C18)</f>
        <v>100.00000000000001</v>
      </c>
      <c r="D19" s="93" t="s">
        <v>29</v>
      </c>
      <c r="E19" s="41">
        <f>SUM(E6:E18)</f>
        <v>95.625531597430623</v>
      </c>
      <c r="H19" s="107" t="s">
        <v>28</v>
      </c>
      <c r="I19" s="108"/>
      <c r="J19" s="108"/>
      <c r="K19" s="108"/>
      <c r="L19" s="108"/>
      <c r="M19" s="109"/>
      <c r="N19" s="37">
        <f>100-N18</f>
        <v>14.281009890622087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44985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0.27</v>
      </c>
      <c r="D23" s="52"/>
      <c r="E23" s="52">
        <v>0.27</v>
      </c>
      <c r="F23" s="53"/>
    </row>
    <row r="24" spans="1:48" x14ac:dyDescent="0.25">
      <c r="H24" s="46" t="s">
        <v>6</v>
      </c>
      <c r="I24" s="28">
        <v>4.24</v>
      </c>
      <c r="J24" s="33"/>
    </row>
    <row r="25" spans="1:48" x14ac:dyDescent="0.25">
      <c r="A25" s="93" t="s">
        <v>8</v>
      </c>
      <c r="B25" s="93" t="s">
        <v>30</v>
      </c>
      <c r="C25" s="93" t="s">
        <v>31</v>
      </c>
      <c r="D25" s="93" t="s">
        <v>68</v>
      </c>
      <c r="E25" s="93" t="s">
        <v>69</v>
      </c>
      <c r="F25" s="93" t="s">
        <v>74</v>
      </c>
      <c r="G25" s="54"/>
      <c r="H25" s="93" t="s">
        <v>9</v>
      </c>
      <c r="I25" s="93" t="s">
        <v>86</v>
      </c>
      <c r="J25" s="93" t="s">
        <v>2</v>
      </c>
      <c r="K25" s="93" t="s">
        <v>3</v>
      </c>
      <c r="L25" s="93" t="s">
        <v>4</v>
      </c>
      <c r="M25" s="93" t="s">
        <v>5</v>
      </c>
      <c r="N25" s="5" t="s">
        <v>15</v>
      </c>
      <c r="O25" s="5" t="s">
        <v>15</v>
      </c>
      <c r="P25" s="5" t="s">
        <v>15</v>
      </c>
      <c r="Q25" s="93" t="s">
        <v>96</v>
      </c>
      <c r="R25" s="94"/>
      <c r="S25" s="93" t="s">
        <v>122</v>
      </c>
      <c r="T25" s="93" t="s">
        <v>123</v>
      </c>
      <c r="U25" s="93" t="s">
        <v>82</v>
      </c>
      <c r="V25" s="35" t="s">
        <v>83</v>
      </c>
    </row>
    <row r="26" spans="1:48" x14ac:dyDescent="0.25">
      <c r="A26" s="93" t="s">
        <v>11</v>
      </c>
      <c r="B26" s="93" t="s">
        <v>93</v>
      </c>
      <c r="C26" s="93" t="s">
        <v>93</v>
      </c>
      <c r="D26" s="93" t="s">
        <v>13</v>
      </c>
      <c r="E26" s="93" t="s">
        <v>13</v>
      </c>
      <c r="F26" s="93" t="s">
        <v>13</v>
      </c>
      <c r="G26" s="54"/>
      <c r="H26" s="93" t="s">
        <v>11</v>
      </c>
      <c r="I26" s="93" t="s">
        <v>11</v>
      </c>
      <c r="J26" s="93" t="s">
        <v>11</v>
      </c>
      <c r="K26" s="93" t="s">
        <v>16</v>
      </c>
      <c r="L26" s="93" t="s">
        <v>19</v>
      </c>
      <c r="M26" s="93" t="s">
        <v>13</v>
      </c>
      <c r="N26" s="5" t="s">
        <v>75</v>
      </c>
      <c r="O26" s="93" t="s">
        <v>113</v>
      </c>
      <c r="P26" s="93" t="s">
        <v>76</v>
      </c>
      <c r="Q26" s="93" t="s">
        <v>76</v>
      </c>
      <c r="R26" s="94"/>
      <c r="S26" s="93" t="s">
        <v>76</v>
      </c>
      <c r="T26" s="93" t="s">
        <v>76</v>
      </c>
      <c r="U26" s="93" t="s">
        <v>11</v>
      </c>
      <c r="V26" s="35" t="s">
        <v>11</v>
      </c>
    </row>
    <row r="27" spans="1:48" x14ac:dyDescent="0.25">
      <c r="A27" s="1" t="s">
        <v>53</v>
      </c>
      <c r="B27" s="12">
        <f>0.65*'HA-Ref'!B6+0.35*B6</f>
        <v>19.2</v>
      </c>
      <c r="C27" s="18">
        <f>B27*(100-B$39)/B$41</f>
        <v>19.220926973581772</v>
      </c>
      <c r="D27" s="18">
        <f>INDEX(MAC!$H$3:$H$16,MATCH($A27,MAC!$A$3:$A$16,0))</f>
        <v>35.900659077291785</v>
      </c>
      <c r="E27" s="18">
        <f>C27*D27/100</f>
        <v>6.9004394642808098</v>
      </c>
      <c r="F27" s="21"/>
      <c r="G27" s="55"/>
      <c r="H27" s="93" t="s">
        <v>34</v>
      </c>
      <c r="I27" s="93"/>
      <c r="J27" s="65">
        <v>2.43E-6</v>
      </c>
      <c r="K27" s="95">
        <v>3.17</v>
      </c>
      <c r="L27" s="95">
        <v>2155.431</v>
      </c>
      <c r="M27" s="5">
        <f>$F$41</f>
        <v>72.575981619829591</v>
      </c>
      <c r="N27" s="6">
        <f>100*J27*K27*(L27*0.00000001^3)^2*M27/INDEX('Reference-aQuartz'!$H$4:$H$17,MATCH($B$22,'Reference-aQuartz'!$A$4:$A$17,0))</f>
        <v>3.4854412255505189</v>
      </c>
      <c r="O27" s="32">
        <f>P27</f>
        <v>4.4265103564491595</v>
      </c>
      <c r="P27" s="31">
        <f>N27*(1+$E$23)</f>
        <v>4.4265103564491595</v>
      </c>
      <c r="Q27" s="69"/>
      <c r="R27" s="110" t="s">
        <v>79</v>
      </c>
      <c r="S27" s="100">
        <f>'HA-Ref'!P6+'HA-Ref'!P7</f>
        <v>63.638137812895195</v>
      </c>
      <c r="T27" s="100">
        <f>P27+P28</f>
        <v>4.4265103564491595</v>
      </c>
      <c r="U27" s="102">
        <f>(S27-T27)/S27</f>
        <v>0.93044249079909125</v>
      </c>
      <c r="V27" s="29">
        <f>(U27*S27+U29*S29+U30*S30+U31*S31)/S32</f>
        <v>0.90624016022231257</v>
      </c>
    </row>
    <row r="28" spans="1:48" x14ac:dyDescent="0.25">
      <c r="A28" s="1" t="s">
        <v>54</v>
      </c>
      <c r="B28" s="12">
        <f>0.65*'HA-Ref'!B7+0.35*B7</f>
        <v>5.0999999999999996</v>
      </c>
      <c r="C28" s="18">
        <f t="shared" ref="C28:C38" si="5">B28*(100-B$39)/B$41</f>
        <v>5.1055587273576579</v>
      </c>
      <c r="D28" s="18">
        <f>INDEX(MAC!$H$3:$H$16,MATCH($A28,MAC!$A$3:$A$16,0))</f>
        <v>31.664851266660783</v>
      </c>
      <c r="E28" s="18">
        <f t="shared" ref="E28:E39" si="6">C28*D28/100</f>
        <v>1.6166675773498216</v>
      </c>
      <c r="F28" s="21"/>
      <c r="G28" s="55"/>
      <c r="H28" s="93" t="s">
        <v>35</v>
      </c>
      <c r="I28" s="93">
        <v>94742</v>
      </c>
      <c r="J28" s="65">
        <v>0</v>
      </c>
      <c r="K28" s="95">
        <v>3.17</v>
      </c>
      <c r="L28" s="95">
        <v>4303.1239999999998</v>
      </c>
      <c r="M28" s="5">
        <f t="shared" ref="M28:M39" si="7">$F$41</f>
        <v>72.575981619829591</v>
      </c>
      <c r="N28" s="6">
        <f>100*J28*K28*(L28*0.00000001^3)^2*M28/INDEX('Reference-aQuartz'!$H$4:$H$17,MATCH($B$22,'Reference-aQuartz'!$A$4:$A$17,0))</f>
        <v>0</v>
      </c>
      <c r="O28" s="32">
        <f t="shared" ref="O28:O39" si="8">P28</f>
        <v>0</v>
      </c>
      <c r="P28" s="31">
        <f t="shared" ref="P28:P39" si="9">N28*(1+$E$23)</f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0.65*'HA-Ref'!B8+0.35*B8</f>
        <v>2.99</v>
      </c>
      <c r="C29" s="18">
        <f t="shared" si="5"/>
        <v>2.9932589401567453</v>
      </c>
      <c r="D29" s="18">
        <f>INDEX(MAC!$H$3:$H$16,MATCH($A29,MAC!$A$3:$A$16,0))</f>
        <v>214.68463619455559</v>
      </c>
      <c r="E29" s="18">
        <f t="shared" si="6"/>
        <v>6.4260670660365191</v>
      </c>
      <c r="F29" s="21"/>
      <c r="G29" s="55"/>
      <c r="H29" s="93" t="s">
        <v>36</v>
      </c>
      <c r="I29" s="93">
        <v>81096</v>
      </c>
      <c r="J29" s="65">
        <v>6.0869999999999998E-5</v>
      </c>
      <c r="K29" s="95">
        <v>3.29</v>
      </c>
      <c r="L29" s="95">
        <v>347.68049999999999</v>
      </c>
      <c r="M29" s="5">
        <f t="shared" si="7"/>
        <v>72.575981619829591</v>
      </c>
      <c r="N29" s="6">
        <f>100*J29*K29*(L29*0.00000001^3)^2*M29/INDEX('Reference-aQuartz'!$H$4:$H$17,MATCH($B$22,'Reference-aQuartz'!$A$4:$A$17,0))</f>
        <v>2.3576744942272776</v>
      </c>
      <c r="O29" s="32">
        <f t="shared" si="8"/>
        <v>2.9942466076686425</v>
      </c>
      <c r="P29" s="31">
        <f t="shared" si="9"/>
        <v>2.9942466076686425</v>
      </c>
      <c r="Q29" s="69"/>
      <c r="R29" s="94" t="s">
        <v>80</v>
      </c>
      <c r="S29" s="69">
        <f>'HA-Ref'!P8</f>
        <v>8.3495505751334811</v>
      </c>
      <c r="T29" s="69">
        <f>P29</f>
        <v>2.9942466076686425</v>
      </c>
      <c r="U29" s="34">
        <f>(S29-T29)/S29</f>
        <v>0.64138829021695276</v>
      </c>
    </row>
    <row r="30" spans="1:48" x14ac:dyDescent="0.25">
      <c r="A30" s="1" t="s">
        <v>0</v>
      </c>
      <c r="B30" s="12">
        <f>0.65*'HA-Ref'!B9+0.35*B9</f>
        <v>2.4</v>
      </c>
      <c r="C30" s="18">
        <f t="shared" si="5"/>
        <v>2.4026158716977215</v>
      </c>
      <c r="D30" s="18">
        <f>INDEX(MAC!$H$3:$H$16,MATCH($A30,MAC!$A$3:$A$16,0))</f>
        <v>28.686693628423974</v>
      </c>
      <c r="E30" s="18">
        <f t="shared" si="6"/>
        <v>0.68923105418181341</v>
      </c>
      <c r="F30" s="21"/>
      <c r="G30" s="55"/>
      <c r="H30" s="93" t="s">
        <v>37</v>
      </c>
      <c r="I30" s="93">
        <v>1841</v>
      </c>
      <c r="J30" s="65">
        <v>0</v>
      </c>
      <c r="K30" s="95">
        <v>3.04</v>
      </c>
      <c r="L30" s="95">
        <v>3541.2550000000001</v>
      </c>
      <c r="M30" s="5">
        <f t="shared" si="7"/>
        <v>72.575981619829591</v>
      </c>
      <c r="N30" s="6">
        <f>100*J30*K30*(L30*0.00000001^3)^2*M30/INDEX('Reference-aQuartz'!$H$4:$H$17,MATCH($B$22,'Reference-aQuartz'!$A$4:$A$17,0))</f>
        <v>0</v>
      </c>
      <c r="O30" s="32">
        <f t="shared" si="8"/>
        <v>0</v>
      </c>
      <c r="P30" s="31">
        <f t="shared" si="9"/>
        <v>0</v>
      </c>
      <c r="Q30" s="69"/>
      <c r="R30" s="94" t="s">
        <v>37</v>
      </c>
      <c r="S30" s="69">
        <f>'HA-Ref'!P9</f>
        <v>6.6308023794077888</v>
      </c>
      <c r="T30" s="69">
        <f>P30</f>
        <v>0</v>
      </c>
      <c r="U30" s="34">
        <f t="shared" ref="U30:U31" si="10">(S30-T30)/S30</f>
        <v>1</v>
      </c>
    </row>
    <row r="31" spans="1:48" x14ac:dyDescent="0.25">
      <c r="A31" s="1" t="s">
        <v>1</v>
      </c>
      <c r="B31" s="12">
        <f>0.65*'HA-Ref'!B10+0.35*B10</f>
        <v>60.6</v>
      </c>
      <c r="C31" s="18">
        <f t="shared" si="5"/>
        <v>60.666050760367476</v>
      </c>
      <c r="D31" s="18">
        <f>INDEX(MAC!$H$3:$H$16,MATCH($A31,MAC!$A$3:$A$16,0))</f>
        <v>124.77929454143408</v>
      </c>
      <c r="E31" s="18">
        <f t="shared" si="6"/>
        <v>75.698670164934853</v>
      </c>
      <c r="F31" s="21"/>
      <c r="G31" s="55"/>
      <c r="H31" s="93" t="s">
        <v>38</v>
      </c>
      <c r="I31" s="93">
        <v>98836</v>
      </c>
      <c r="J31" s="65">
        <v>1.048E-5</v>
      </c>
      <c r="K31" s="95">
        <v>3.75</v>
      </c>
      <c r="L31" s="95">
        <v>431.18020000000001</v>
      </c>
      <c r="M31" s="5">
        <f t="shared" si="7"/>
        <v>72.575981619829591</v>
      </c>
      <c r="N31" s="6">
        <f>100*J31*K31*(L31*0.00000001^3)^2*M31/INDEX('Reference-aQuartz'!$H$4:$H$17,MATCH($B$22,'Reference-aQuartz'!$A$4:$A$17,0))</f>
        <v>0.71159706489261332</v>
      </c>
      <c r="O31" s="32">
        <f t="shared" si="8"/>
        <v>0.90372827241361897</v>
      </c>
      <c r="P31" s="31">
        <f t="shared" si="9"/>
        <v>0.90372827241361897</v>
      </c>
      <c r="Q31" s="69"/>
      <c r="R31" s="94" t="s">
        <v>81</v>
      </c>
      <c r="S31" s="69">
        <f>'HA-Ref'!P10</f>
        <v>10.166699739175728</v>
      </c>
      <c r="T31" s="69">
        <f>P31</f>
        <v>0.90372827241361897</v>
      </c>
      <c r="U31" s="34">
        <f t="shared" si="10"/>
        <v>0.91110898368216287</v>
      </c>
    </row>
    <row r="32" spans="1:48" x14ac:dyDescent="0.25">
      <c r="A32" s="1" t="s">
        <v>56</v>
      </c>
      <c r="B32" s="12">
        <f>0.65*'HA-Ref'!B11+0.35*B11</f>
        <v>1.18</v>
      </c>
      <c r="C32" s="18">
        <f t="shared" si="5"/>
        <v>1.1812861369180463</v>
      </c>
      <c r="D32" s="18">
        <f>INDEX(MAC!$H$3:$H$16,MATCH($A32,MAC!$A$3:$A$16,0))</f>
        <v>122.32505440840811</v>
      </c>
      <c r="E32" s="18">
        <f t="shared" si="6"/>
        <v>1.4450089097039824</v>
      </c>
      <c r="F32" s="21"/>
      <c r="G32" s="55"/>
      <c r="H32" s="93" t="s">
        <v>40</v>
      </c>
      <c r="I32" s="93">
        <v>202220</v>
      </c>
      <c r="J32" s="93">
        <v>2.0075039999999999E-2</v>
      </c>
      <c r="K32" s="93">
        <v>2.2400000000000002</v>
      </c>
      <c r="L32" s="93">
        <v>54.901620000000001</v>
      </c>
      <c r="M32" s="5">
        <f t="shared" si="7"/>
        <v>72.575981619829591</v>
      </c>
      <c r="N32" s="6">
        <f>100*J32*K32*(L32*0.00000001^3)^2*M32/INDEX('Reference-aQuartz'!$H$4:$H$17,MATCH($B$22,'Reference-aQuartz'!$A$4:$A$17,0))</f>
        <v>13.200753914313792</v>
      </c>
      <c r="O32" s="32">
        <f t="shared" si="8"/>
        <v>16.764957471178516</v>
      </c>
      <c r="P32" s="31">
        <f t="shared" si="9"/>
        <v>16.764957471178516</v>
      </c>
      <c r="Q32" s="69">
        <v>17.2</v>
      </c>
      <c r="R32" s="94" t="s">
        <v>84</v>
      </c>
      <c r="S32" s="69">
        <f>SUM(S27:S31)</f>
        <v>88.785190506612182</v>
      </c>
      <c r="T32" s="69">
        <f>SUM(T27:T31)</f>
        <v>8.3244852365314213</v>
      </c>
    </row>
    <row r="33" spans="1:22" x14ac:dyDescent="0.25">
      <c r="A33" s="1" t="s">
        <v>57</v>
      </c>
      <c r="B33" s="12">
        <f>0.65*'HA-Ref'!B12+0.35*B12</f>
        <v>3.81</v>
      </c>
      <c r="C33" s="18">
        <f t="shared" si="5"/>
        <v>3.8141526963201331</v>
      </c>
      <c r="D33" s="18">
        <f>INDEX(MAC!$H$3:$H$16,MATCH($A33,MAC!$A$3:$A$16,0))</f>
        <v>44.261072668681777</v>
      </c>
      <c r="E33" s="18">
        <f t="shared" si="6"/>
        <v>1.6881848966127395</v>
      </c>
      <c r="F33" s="21"/>
      <c r="G33" s="55"/>
      <c r="H33" s="93" t="s">
        <v>25</v>
      </c>
      <c r="I33" s="93">
        <v>73446</v>
      </c>
      <c r="J33" s="65">
        <v>6.0300000000000002E-5</v>
      </c>
      <c r="K33" s="93">
        <v>2.72</v>
      </c>
      <c r="L33" s="93">
        <v>367.1816</v>
      </c>
      <c r="M33" s="5">
        <f t="shared" si="7"/>
        <v>72.575981619829591</v>
      </c>
      <c r="N33" s="6">
        <f>100*J33*K33*(L33*0.00000001^3)^2*M33/INDEX('Reference-aQuartz'!$H$4:$H$17,MATCH($B$22,'Reference-aQuartz'!$A$4:$A$17,0))</f>
        <v>2.1536345733319533</v>
      </c>
      <c r="O33" s="32">
        <f t="shared" si="8"/>
        <v>2.7351159081315806</v>
      </c>
      <c r="P33" s="31">
        <f t="shared" si="9"/>
        <v>2.7351159081315806</v>
      </c>
      <c r="Q33" s="69">
        <v>1.32</v>
      </c>
    </row>
    <row r="34" spans="1:22" x14ac:dyDescent="0.25">
      <c r="A34" s="1" t="s">
        <v>14</v>
      </c>
      <c r="B34" s="12">
        <f>0.65*'HA-Ref'!B13+0.35*B13</f>
        <v>0.08</v>
      </c>
      <c r="C34" s="18">
        <f t="shared" si="5"/>
        <v>8.0087195723257384E-2</v>
      </c>
      <c r="D34" s="18">
        <f>INDEX(MAC!$H$3:$H$16,MATCH($A34,MAC!$A$3:$A$16,0))</f>
        <v>97.328178229861322</v>
      </c>
      <c r="E34" s="18">
        <f t="shared" si="6"/>
        <v>7.7947408592829823E-2</v>
      </c>
      <c r="F34" s="21"/>
      <c r="G34" s="55"/>
      <c r="H34" s="93" t="s">
        <v>21</v>
      </c>
      <c r="I34" s="93">
        <v>174</v>
      </c>
      <c r="J34" s="65">
        <v>8.7200000000000005E-5</v>
      </c>
      <c r="K34" s="93">
        <v>2.65</v>
      </c>
      <c r="L34" s="93">
        <v>113.10760000000001</v>
      </c>
      <c r="M34" s="5">
        <f t="shared" si="7"/>
        <v>72.575981619829591</v>
      </c>
      <c r="N34" s="6">
        <f>100*J34*K34*(L34*0.00000001^3)^2*M34/INDEX('Reference-aQuartz'!$H$4:$H$17,MATCH($B$22,'Reference-aQuartz'!$A$4:$A$17,0))</f>
        <v>0.28791872598994422</v>
      </c>
      <c r="O34" s="32">
        <f t="shared" si="8"/>
        <v>0.36565678200722918</v>
      </c>
      <c r="P34" s="31">
        <f t="shared" si="9"/>
        <v>0.36565678200722918</v>
      </c>
      <c r="Q34" s="69"/>
    </row>
    <row r="35" spans="1:22" x14ac:dyDescent="0.25">
      <c r="A35" s="1" t="s">
        <v>58</v>
      </c>
      <c r="B35" s="12">
        <f>0.65*'HA-Ref'!B14+0.35*B14</f>
        <v>0.45000000000000007</v>
      </c>
      <c r="C35" s="18">
        <f t="shared" si="5"/>
        <v>0.45049047594332287</v>
      </c>
      <c r="D35" s="18">
        <f>INDEX(MAC!$H$3:$H$16,MATCH($A35,MAC!$A$3:$A$16,0))</f>
        <v>19.10926020222594</v>
      </c>
      <c r="E35" s="18">
        <f t="shared" si="6"/>
        <v>8.6085397234255623E-2</v>
      </c>
      <c r="F35" s="21"/>
      <c r="G35" s="55"/>
      <c r="H35" s="93" t="s">
        <v>87</v>
      </c>
      <c r="I35" s="93">
        <v>155395</v>
      </c>
      <c r="J35" s="65">
        <v>5.7899999999999996E-6</v>
      </c>
      <c r="K35" s="93">
        <v>1.79</v>
      </c>
      <c r="L35" s="93">
        <v>2326.1129999999998</v>
      </c>
      <c r="M35" s="5">
        <f t="shared" si="7"/>
        <v>72.575981619829591</v>
      </c>
      <c r="N35" s="6">
        <f>100*J35*K35*(L35*0.00000001^3)^2*M35/INDEX('Reference-aQuartz'!$H$4:$H$17,MATCH($B$22,'Reference-aQuartz'!$A$4:$A$17,0))</f>
        <v>5.4615660483093373</v>
      </c>
      <c r="O35" s="32">
        <f t="shared" si="8"/>
        <v>6.9361888813528587</v>
      </c>
      <c r="P35" s="31">
        <f t="shared" si="9"/>
        <v>6.9361888813528587</v>
      </c>
      <c r="Q35" s="69"/>
    </row>
    <row r="36" spans="1:22" x14ac:dyDescent="0.25">
      <c r="A36" s="1" t="s">
        <v>59</v>
      </c>
      <c r="B36" s="12">
        <f>0.65*'HA-Ref'!B15+0.35*B15</f>
        <v>0.35</v>
      </c>
      <c r="C36" s="18">
        <f t="shared" si="5"/>
        <v>0.35038148128925106</v>
      </c>
      <c r="D36" s="18">
        <f>INDEX(MAC!$H$3:$H$16,MATCH($A36,MAC!$A$3:$A$16,0))</f>
        <v>124.47726788956365</v>
      </c>
      <c r="E36" s="18">
        <f t="shared" si="6"/>
        <v>0.43614529509984235</v>
      </c>
      <c r="F36" s="21"/>
      <c r="G36" s="55"/>
      <c r="H36" s="93" t="s">
        <v>88</v>
      </c>
      <c r="I36" s="93">
        <v>81963</v>
      </c>
      <c r="J36" s="82">
        <v>0</v>
      </c>
      <c r="K36" s="93"/>
      <c r="L36" s="93"/>
      <c r="M36" s="5">
        <f t="shared" si="7"/>
        <v>72.575981619829591</v>
      </c>
      <c r="N36" s="6">
        <f>100*J36*K36*(L36*0.00000001^3)^2*M36/INDEX('Reference-aQuartz'!$H$4:$H$17,MATCH($B$22,'Reference-aQuartz'!$A$4:$A$17,0))</f>
        <v>0</v>
      </c>
      <c r="O36" s="32">
        <f t="shared" si="8"/>
        <v>0</v>
      </c>
      <c r="P36" s="31">
        <f t="shared" si="9"/>
        <v>0</v>
      </c>
      <c r="Q36" s="69"/>
    </row>
    <row r="37" spans="1:22" x14ac:dyDescent="0.25">
      <c r="A37" s="1" t="s">
        <v>60</v>
      </c>
      <c r="B37" s="12">
        <f>0.65*'HA-Ref'!B16+0.35*B16</f>
        <v>0.08</v>
      </c>
      <c r="C37" s="18">
        <f t="shared" si="5"/>
        <v>8.0087195723257384E-2</v>
      </c>
      <c r="D37" s="18">
        <f>INDEX(MAC!$H$3:$H$16,MATCH($A37,MAC!$A$3:$A$16,0))</f>
        <v>39.431437267071992</v>
      </c>
      <c r="E37" s="18">
        <f t="shared" si="6"/>
        <v>3.1579532340573396E-2</v>
      </c>
      <c r="F37" s="21"/>
      <c r="G37" s="55"/>
      <c r="H37" s="93" t="s">
        <v>89</v>
      </c>
      <c r="I37" s="93">
        <v>59327</v>
      </c>
      <c r="J37" s="65">
        <v>2.092E-5</v>
      </c>
      <c r="K37" s="93">
        <v>2.16</v>
      </c>
      <c r="L37" s="93">
        <v>437.69</v>
      </c>
      <c r="M37" s="5">
        <f t="shared" si="7"/>
        <v>72.575981619829591</v>
      </c>
      <c r="N37" s="6">
        <f>100*J37*K37*(L37*0.00000001^3)^2*M37/INDEX('Reference-aQuartz'!$H$4:$H$17,MATCH($B$22,'Reference-aQuartz'!$A$4:$A$17,0))</f>
        <v>0.84308751575526364</v>
      </c>
      <c r="O37" s="32">
        <f t="shared" si="8"/>
        <v>1.0707211450091849</v>
      </c>
      <c r="P37" s="31">
        <f t="shared" si="9"/>
        <v>1.0707211450091849</v>
      </c>
      <c r="Q37" s="69"/>
    </row>
    <row r="38" spans="1:22" x14ac:dyDescent="0.25">
      <c r="A38" s="19" t="s">
        <v>23</v>
      </c>
      <c r="B38" s="12">
        <f>0.65*'HA-Ref'!B17+0.35*B17</f>
        <v>9.5000000000000001E-2</v>
      </c>
      <c r="C38" s="18">
        <f t="shared" si="5"/>
        <v>9.5103544921368147E-2</v>
      </c>
      <c r="D38" s="18">
        <f>INDEX(MAC!$H$3:$H$16,MATCH($A38,MAC!$A$3:$A$16,0))</f>
        <v>197.69998688868492</v>
      </c>
      <c r="E38" s="18">
        <f t="shared" si="6"/>
        <v>0.18801969584021941</v>
      </c>
      <c r="F38" s="21"/>
      <c r="G38" s="55"/>
      <c r="H38" s="93" t="s">
        <v>90</v>
      </c>
      <c r="I38" s="95">
        <v>2105252</v>
      </c>
      <c r="J38" s="65">
        <v>1.5400000000000001E-6</v>
      </c>
      <c r="K38" s="95">
        <v>1.82</v>
      </c>
      <c r="L38" s="95">
        <v>1413.5530000000001</v>
      </c>
      <c r="M38" s="5">
        <f t="shared" si="7"/>
        <v>72.575981619829591</v>
      </c>
      <c r="N38" s="6">
        <f>100*J38*K38*(L38*0.00000001^3)^2*M38/INDEX('Reference-aQuartz'!$H$4:$H$17,MATCH($B$22,'Reference-aQuartz'!$A$4:$A$17,0))</f>
        <v>0.54543158122330082</v>
      </c>
      <c r="O38" s="32">
        <f t="shared" si="8"/>
        <v>0.69269810815359201</v>
      </c>
      <c r="P38" s="31">
        <f t="shared" si="9"/>
        <v>0.69269810815359201</v>
      </c>
      <c r="Q38" s="69"/>
    </row>
    <row r="39" spans="1:22" x14ac:dyDescent="0.25">
      <c r="A39" s="1" t="s">
        <v>66</v>
      </c>
      <c r="B39" s="12">
        <f>0.65*'HA-Ref'!B18+0.35*B18</f>
        <v>3.56</v>
      </c>
      <c r="C39" s="18">
        <f>B39</f>
        <v>3.56</v>
      </c>
      <c r="D39" s="18">
        <f>INDEX(MAC!$H$3:$H$16,MATCH($A39,MAC!$A$3:$A$16,0))</f>
        <v>9.592279079279237</v>
      </c>
      <c r="E39" s="18">
        <f t="shared" si="6"/>
        <v>0.34148513522234081</v>
      </c>
      <c r="F39" s="21"/>
      <c r="G39" s="55"/>
      <c r="H39" s="95" t="s">
        <v>101</v>
      </c>
      <c r="I39" s="95">
        <v>9863</v>
      </c>
      <c r="J39" s="95">
        <v>2.6703000000000002E-4</v>
      </c>
      <c r="K39" s="95">
        <v>3.58</v>
      </c>
      <c r="L39" s="95">
        <v>74.679630000000003</v>
      </c>
      <c r="M39" s="5">
        <f t="shared" si="7"/>
        <v>72.575981619829591</v>
      </c>
      <c r="N39" s="6">
        <f>100*J39*K39*(L39*0.00000001^3)^2*M39/INDEX('Reference-aQuartz'!$H$4:$H$17,MATCH($B$22,'Reference-aQuartz'!$A$4:$A$17,0))</f>
        <v>0.51924386747333462</v>
      </c>
      <c r="O39" s="32">
        <f t="shared" si="8"/>
        <v>0.65943971169113502</v>
      </c>
      <c r="P39" s="31">
        <f t="shared" si="9"/>
        <v>0.65943971169113502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107" t="s">
        <v>7</v>
      </c>
      <c r="I40" s="108"/>
      <c r="J40" s="108"/>
      <c r="K40" s="108"/>
      <c r="L40" s="108"/>
      <c r="M40" s="109"/>
      <c r="N40" s="6">
        <f>SUM(N27:N39)</f>
        <v>29.566349011067334</v>
      </c>
      <c r="O40" s="31">
        <f>SUM(O27:O39)</f>
        <v>37.549263244055517</v>
      </c>
      <c r="P40" s="31">
        <f>SUM(P27:P39)</f>
        <v>37.549263244055517</v>
      </c>
    </row>
    <row r="41" spans="1:22" x14ac:dyDescent="0.25">
      <c r="A41" s="93" t="s">
        <v>7</v>
      </c>
      <c r="B41" s="40">
        <f>SUM(B27:B38)</f>
        <v>96.334999999999994</v>
      </c>
      <c r="C41" s="40">
        <f>SUM(C27:C39)</f>
        <v>100.00000000000001</v>
      </c>
      <c r="D41" s="93" t="s">
        <v>29</v>
      </c>
      <c r="E41" s="56">
        <f>SUM(E27:E39)</f>
        <v>95.625531597430623</v>
      </c>
      <c r="F41" s="41">
        <f>E41*(1-C23)+D40*C23</f>
        <v>72.575981619829591</v>
      </c>
      <c r="H41" s="107" t="s">
        <v>28</v>
      </c>
      <c r="I41" s="108"/>
      <c r="J41" s="108"/>
      <c r="K41" s="108"/>
      <c r="L41" s="108"/>
      <c r="M41" s="109"/>
      <c r="N41" s="6">
        <f>100-N40</f>
        <v>70.433650988932669</v>
      </c>
      <c r="O41" s="31">
        <f>100-O40</f>
        <v>62.450736755944483</v>
      </c>
      <c r="P41" s="31">
        <f>100-P40</f>
        <v>62.450736755944483</v>
      </c>
    </row>
    <row r="44" spans="1:22" x14ac:dyDescent="0.25">
      <c r="A44" s="42" t="s">
        <v>32</v>
      </c>
      <c r="B44" s="43"/>
      <c r="C44" s="47" t="s">
        <v>85</v>
      </c>
      <c r="D44" s="48"/>
      <c r="E44" s="48" t="s">
        <v>77</v>
      </c>
      <c r="F44" s="49"/>
    </row>
    <row r="45" spans="1:22" x14ac:dyDescent="0.25">
      <c r="A45" s="44" t="s">
        <v>78</v>
      </c>
      <c r="B45" s="50"/>
      <c r="C45" s="51"/>
      <c r="D45" s="52"/>
      <c r="E45" s="52"/>
      <c r="F45" s="53"/>
    </row>
    <row r="46" spans="1:22" x14ac:dyDescent="0.25">
      <c r="H46" s="46" t="s">
        <v>6</v>
      </c>
      <c r="I46" s="87"/>
      <c r="J46" s="33"/>
    </row>
    <row r="47" spans="1:22" x14ac:dyDescent="0.25">
      <c r="A47" s="93" t="s">
        <v>8</v>
      </c>
      <c r="B47" s="93" t="s">
        <v>30</v>
      </c>
      <c r="C47" s="93" t="s">
        <v>31</v>
      </c>
      <c r="D47" s="93" t="s">
        <v>68</v>
      </c>
      <c r="E47" s="93" t="s">
        <v>69</v>
      </c>
      <c r="F47" s="93" t="s">
        <v>74</v>
      </c>
      <c r="G47" s="54"/>
      <c r="H47" s="93" t="s">
        <v>9</v>
      </c>
      <c r="I47" s="93" t="s">
        <v>86</v>
      </c>
      <c r="J47" s="93" t="s">
        <v>2</v>
      </c>
      <c r="K47" s="93" t="s">
        <v>3</v>
      </c>
      <c r="L47" s="93" t="s">
        <v>4</v>
      </c>
      <c r="M47" s="93" t="s">
        <v>5</v>
      </c>
      <c r="N47" s="5" t="s">
        <v>15</v>
      </c>
      <c r="O47" s="5" t="s">
        <v>15</v>
      </c>
      <c r="P47" s="5" t="s">
        <v>15</v>
      </c>
      <c r="Q47" s="93" t="s">
        <v>96</v>
      </c>
      <c r="R47" s="94"/>
      <c r="S47" s="96" t="s">
        <v>122</v>
      </c>
      <c r="T47" s="96" t="s">
        <v>123</v>
      </c>
      <c r="U47" s="93" t="s">
        <v>82</v>
      </c>
      <c r="V47" s="35" t="s">
        <v>83</v>
      </c>
    </row>
    <row r="48" spans="1:22" x14ac:dyDescent="0.25">
      <c r="A48" s="93" t="s">
        <v>11</v>
      </c>
      <c r="B48" s="93" t="s">
        <v>93</v>
      </c>
      <c r="C48" s="93" t="s">
        <v>93</v>
      </c>
      <c r="D48" s="93" t="s">
        <v>13</v>
      </c>
      <c r="E48" s="93" t="s">
        <v>13</v>
      </c>
      <c r="F48" s="93" t="s">
        <v>13</v>
      </c>
      <c r="G48" s="54"/>
      <c r="H48" s="93" t="s">
        <v>11</v>
      </c>
      <c r="I48" s="93" t="s">
        <v>11</v>
      </c>
      <c r="J48" s="93" t="s">
        <v>11</v>
      </c>
      <c r="K48" s="93" t="s">
        <v>16</v>
      </c>
      <c r="L48" s="93" t="s">
        <v>19</v>
      </c>
      <c r="M48" s="93" t="s">
        <v>13</v>
      </c>
      <c r="N48" s="5" t="s">
        <v>75</v>
      </c>
      <c r="O48" s="93" t="s">
        <v>113</v>
      </c>
      <c r="P48" s="93" t="s">
        <v>76</v>
      </c>
      <c r="Q48" s="93" t="s">
        <v>76</v>
      </c>
      <c r="R48" s="94"/>
      <c r="S48" s="93" t="s">
        <v>76</v>
      </c>
      <c r="T48" s="93" t="s">
        <v>76</v>
      </c>
      <c r="U48" s="93" t="s">
        <v>11</v>
      </c>
      <c r="V48" s="35" t="s">
        <v>11</v>
      </c>
    </row>
    <row r="49" spans="1:22" x14ac:dyDescent="0.25">
      <c r="A49" s="1" t="s">
        <v>53</v>
      </c>
      <c r="B49" s="12">
        <f>0.65*'HA-Ref'!B6+0.35*B6</f>
        <v>19.2</v>
      </c>
      <c r="C49" s="18">
        <f>B49*(100-B$39)/B$41</f>
        <v>19.220926973581772</v>
      </c>
      <c r="D49" s="18">
        <f>INDEX(MAC!$H$3:$H$16,MATCH($A49,MAC!$A$3:$A$16,0))</f>
        <v>35.900659077291785</v>
      </c>
      <c r="E49" s="18">
        <f>C49*D49/100</f>
        <v>6.9004394642808098</v>
      </c>
      <c r="F49" s="21"/>
      <c r="G49" s="55"/>
      <c r="H49" s="93" t="s">
        <v>34</v>
      </c>
      <c r="I49" s="93"/>
      <c r="J49" s="65"/>
      <c r="K49" s="93">
        <f>'HA-Ref'!K6</f>
        <v>3.17</v>
      </c>
      <c r="L49" s="93">
        <f>'HA-Ref'!L6</f>
        <v>2155.431</v>
      </c>
      <c r="M49" s="5">
        <f>$F$63</f>
        <v>95.625531597430623</v>
      </c>
      <c r="N49" s="6" t="e">
        <f>100*J49*K49*(L49*0.00000001^3)^2*M49/INDEX('Reference-aQuartz'!$H$4:$H$17,MATCH($B$44,'Reference-aQuartz'!$A$4:$A$17,0))</f>
        <v>#N/A</v>
      </c>
      <c r="O49" s="32" t="e">
        <f>P49</f>
        <v>#N/A</v>
      </c>
      <c r="P49" s="31" t="e">
        <f t="shared" ref="P49:P61" si="11">N49*(1+$E$45)</f>
        <v>#N/A</v>
      </c>
      <c r="Q49" s="69"/>
      <c r="R49" s="110" t="s">
        <v>79</v>
      </c>
      <c r="S49" s="100">
        <f>('HA-Ref'!P6+'HA-Ref'!P7)</f>
        <v>63.638137812895195</v>
      </c>
      <c r="T49" s="100" t="e">
        <f>P49+P50</f>
        <v>#N/A</v>
      </c>
      <c r="U49" s="102" t="e">
        <f>(S49-T49)/S49</f>
        <v>#N/A</v>
      </c>
      <c r="V49" s="29" t="e">
        <f>(U49*S49+U51*S51+U52*S52+U53*S53)/S54</f>
        <v>#N/A</v>
      </c>
    </row>
    <row r="50" spans="1:22" x14ac:dyDescent="0.25">
      <c r="A50" s="1" t="s">
        <v>54</v>
      </c>
      <c r="B50" s="12">
        <f>0.65*'HA-Ref'!B7+0.35*B7</f>
        <v>5.0999999999999996</v>
      </c>
      <c r="C50" s="18">
        <f t="shared" ref="C50:C60" si="12">B50*(100-B$39)/B$41</f>
        <v>5.1055587273576579</v>
      </c>
      <c r="D50" s="18">
        <f>INDEX(MAC!$H$3:$H$16,MATCH($A50,MAC!$A$3:$A$16,0))</f>
        <v>31.664851266660783</v>
      </c>
      <c r="E50" s="18">
        <f t="shared" ref="E50:E61" si="13">C50*D50/100</f>
        <v>1.6166675773498216</v>
      </c>
      <c r="F50" s="21"/>
      <c r="G50" s="55"/>
      <c r="H50" s="93" t="s">
        <v>35</v>
      </c>
      <c r="I50" s="93">
        <v>94742</v>
      </c>
      <c r="J50" s="93"/>
      <c r="K50" s="93">
        <f>'HA-Ref'!K7</f>
        <v>3.17</v>
      </c>
      <c r="L50" s="93">
        <f>'HA-Ref'!L7</f>
        <v>4303.1239999999998</v>
      </c>
      <c r="M50" s="5">
        <f t="shared" ref="M50:M61" si="14">$F$63</f>
        <v>95.625531597430623</v>
      </c>
      <c r="N50" s="6" t="e">
        <f>100*J50*K50*(L50*0.00000001^3)^2*M50/INDEX('Reference-aQuartz'!$H$4:$H$17,MATCH($B$44,'Reference-aQuartz'!$A$4:$A$17,0))</f>
        <v>#N/A</v>
      </c>
      <c r="O50" s="32" t="e">
        <f t="shared" ref="O50:O61" si="15">P50</f>
        <v>#N/A</v>
      </c>
      <c r="P50" s="31" t="e">
        <f t="shared" si="11"/>
        <v>#N/A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0.65*'HA-Ref'!B8+0.35*B8</f>
        <v>2.99</v>
      </c>
      <c r="C51" s="18">
        <f t="shared" si="12"/>
        <v>2.9932589401567453</v>
      </c>
      <c r="D51" s="18">
        <f>INDEX(MAC!$H$3:$H$16,MATCH($A51,MAC!$A$3:$A$16,0))</f>
        <v>214.68463619455559</v>
      </c>
      <c r="E51" s="18">
        <f t="shared" si="13"/>
        <v>6.4260670660365191</v>
      </c>
      <c r="F51" s="21"/>
      <c r="G51" s="55"/>
      <c r="H51" s="93" t="s">
        <v>36</v>
      </c>
      <c r="I51" s="93">
        <v>81096</v>
      </c>
      <c r="J51" s="65"/>
      <c r="K51" s="93">
        <f>'HA-Ref'!K8</f>
        <v>3.29</v>
      </c>
      <c r="L51" s="93">
        <f>'HA-Ref'!L8</f>
        <v>347.68049999999999</v>
      </c>
      <c r="M51" s="5">
        <f t="shared" si="14"/>
        <v>95.625531597430623</v>
      </c>
      <c r="N51" s="6" t="e">
        <f>100*J51*K51*(L51*0.00000001^3)^2*M51/INDEX('Reference-aQuartz'!$H$4:$H$17,MATCH($B$44,'Reference-aQuartz'!$A$4:$A$17,0))</f>
        <v>#N/A</v>
      </c>
      <c r="O51" s="32" t="e">
        <f t="shared" si="15"/>
        <v>#N/A</v>
      </c>
      <c r="P51" s="31" t="e">
        <f t="shared" si="11"/>
        <v>#N/A</v>
      </c>
      <c r="Q51" s="69"/>
      <c r="R51" s="94" t="s">
        <v>80</v>
      </c>
      <c r="S51" s="69">
        <f>'HA-Ref'!P8</f>
        <v>8.3495505751334811</v>
      </c>
      <c r="T51" s="69" t="e">
        <f>P51</f>
        <v>#N/A</v>
      </c>
      <c r="U51" s="34" t="e">
        <f>(S51-T51)/S51</f>
        <v>#N/A</v>
      </c>
    </row>
    <row r="52" spans="1:22" x14ac:dyDescent="0.25">
      <c r="A52" s="1" t="s">
        <v>0</v>
      </c>
      <c r="B52" s="12">
        <f>0.65*'HA-Ref'!B9+0.35*B9</f>
        <v>2.4</v>
      </c>
      <c r="C52" s="18">
        <f t="shared" si="12"/>
        <v>2.4026158716977215</v>
      </c>
      <c r="D52" s="18">
        <f>INDEX(MAC!$H$3:$H$16,MATCH($A52,MAC!$A$3:$A$16,0))</f>
        <v>28.686693628423974</v>
      </c>
      <c r="E52" s="18">
        <f t="shared" si="13"/>
        <v>0.68923105418181341</v>
      </c>
      <c r="F52" s="21"/>
      <c r="G52" s="55"/>
      <c r="H52" s="93" t="s">
        <v>37</v>
      </c>
      <c r="I52" s="93">
        <v>1841</v>
      </c>
      <c r="J52" s="93"/>
      <c r="K52" s="93">
        <f>'HA-Ref'!K9</f>
        <v>3.04</v>
      </c>
      <c r="L52" s="93">
        <f>'HA-Ref'!L9</f>
        <v>3541.2550000000001</v>
      </c>
      <c r="M52" s="5">
        <f t="shared" si="14"/>
        <v>95.625531597430623</v>
      </c>
      <c r="N52" s="6" t="e">
        <f>100*J52*K52*(L52*0.00000001^3)^2*M52/INDEX('Reference-aQuartz'!$H$4:$H$17,MATCH($B$44,'Reference-aQuartz'!$A$4:$A$17,0))</f>
        <v>#N/A</v>
      </c>
      <c r="O52" s="32" t="e">
        <f t="shared" si="15"/>
        <v>#N/A</v>
      </c>
      <c r="P52" s="31" t="e">
        <f t="shared" si="11"/>
        <v>#N/A</v>
      </c>
      <c r="Q52" s="69"/>
      <c r="R52" s="94" t="s">
        <v>37</v>
      </c>
      <c r="S52" s="69">
        <f>'HA-Ref'!P9</f>
        <v>6.6308023794077888</v>
      </c>
      <c r="T52" s="69" t="e">
        <f>P52</f>
        <v>#N/A</v>
      </c>
      <c r="U52" s="34" t="e">
        <f t="shared" ref="U52:U53" si="16">(S52-T52)/S52</f>
        <v>#N/A</v>
      </c>
    </row>
    <row r="53" spans="1:22" x14ac:dyDescent="0.25">
      <c r="A53" s="1" t="s">
        <v>1</v>
      </c>
      <c r="B53" s="12">
        <f>0.65*'HA-Ref'!B10+0.35*B10</f>
        <v>60.6</v>
      </c>
      <c r="C53" s="18">
        <f t="shared" si="12"/>
        <v>60.666050760367476</v>
      </c>
      <c r="D53" s="18">
        <f>INDEX(MAC!$H$3:$H$16,MATCH($A53,MAC!$A$3:$A$16,0))</f>
        <v>124.77929454143408</v>
      </c>
      <c r="E53" s="18">
        <f t="shared" si="13"/>
        <v>75.698670164934853</v>
      </c>
      <c r="F53" s="21"/>
      <c r="G53" s="55"/>
      <c r="H53" s="93" t="s">
        <v>38</v>
      </c>
      <c r="I53" s="93">
        <v>98836</v>
      </c>
      <c r="J53" s="65"/>
      <c r="K53" s="93">
        <f>'HA-Ref'!K10</f>
        <v>3.75</v>
      </c>
      <c r="L53" s="93">
        <f>'HA-Ref'!L10</f>
        <v>431.18020000000001</v>
      </c>
      <c r="M53" s="5">
        <f t="shared" si="14"/>
        <v>95.625531597430623</v>
      </c>
      <c r="N53" s="6" t="e">
        <f>100*J53*K53*(L53*0.00000001^3)^2*M53/INDEX('Reference-aQuartz'!$H$4:$H$17,MATCH($B$44,'Reference-aQuartz'!$A$4:$A$17,0))</f>
        <v>#N/A</v>
      </c>
      <c r="O53" s="32" t="e">
        <f t="shared" si="15"/>
        <v>#N/A</v>
      </c>
      <c r="P53" s="31" t="e">
        <f t="shared" si="11"/>
        <v>#N/A</v>
      </c>
      <c r="Q53" s="69"/>
      <c r="R53" s="94" t="s">
        <v>81</v>
      </c>
      <c r="S53" s="69">
        <f>'HA-Ref'!P10</f>
        <v>10.166699739175728</v>
      </c>
      <c r="T53" s="69" t="e">
        <f>P53</f>
        <v>#N/A</v>
      </c>
      <c r="U53" s="34" t="e">
        <f t="shared" si="16"/>
        <v>#N/A</v>
      </c>
    </row>
    <row r="54" spans="1:22" x14ac:dyDescent="0.25">
      <c r="A54" s="1" t="s">
        <v>56</v>
      </c>
      <c r="B54" s="12">
        <f>0.65*'HA-Ref'!B11+0.35*B11</f>
        <v>1.18</v>
      </c>
      <c r="C54" s="18">
        <f t="shared" si="12"/>
        <v>1.1812861369180463</v>
      </c>
      <c r="D54" s="18">
        <f>INDEX(MAC!$H$3:$H$16,MATCH($A54,MAC!$A$3:$A$16,0))</f>
        <v>122.32505440840811</v>
      </c>
      <c r="E54" s="18">
        <f t="shared" si="13"/>
        <v>1.4450089097039824</v>
      </c>
      <c r="F54" s="21"/>
      <c r="G54" s="55"/>
      <c r="H54" s="93" t="s">
        <v>40</v>
      </c>
      <c r="I54" s="93">
        <v>202220</v>
      </c>
      <c r="J54" s="93"/>
      <c r="K54" s="93"/>
      <c r="L54" s="93"/>
      <c r="M54" s="5">
        <f t="shared" si="14"/>
        <v>95.625531597430623</v>
      </c>
      <c r="N54" s="6" t="e">
        <f>100*J54*K54*(L54*0.00000001^3)^2*M54/INDEX('Reference-aQuartz'!$H$4:$H$17,MATCH($B$44,'Reference-aQuartz'!$A$4:$A$17,0))</f>
        <v>#N/A</v>
      </c>
      <c r="O54" s="32" t="e">
        <f t="shared" si="15"/>
        <v>#N/A</v>
      </c>
      <c r="P54" s="31" t="e">
        <f t="shared" si="11"/>
        <v>#N/A</v>
      </c>
      <c r="Q54" s="69"/>
      <c r="R54" s="94" t="s">
        <v>84</v>
      </c>
      <c r="S54" s="69">
        <f>SUM(S49:S53)</f>
        <v>88.785190506612182</v>
      </c>
      <c r="T54" s="69" t="e">
        <f>SUM(T49:T53)</f>
        <v>#N/A</v>
      </c>
    </row>
    <row r="55" spans="1:22" x14ac:dyDescent="0.25">
      <c r="A55" s="1" t="s">
        <v>57</v>
      </c>
      <c r="B55" s="12">
        <f>0.65*'HA-Ref'!B12+0.35*B12</f>
        <v>3.81</v>
      </c>
      <c r="C55" s="18">
        <f t="shared" si="12"/>
        <v>3.8141526963201331</v>
      </c>
      <c r="D55" s="18">
        <f>INDEX(MAC!$H$3:$H$16,MATCH($A55,MAC!$A$3:$A$16,0))</f>
        <v>44.261072668681777</v>
      </c>
      <c r="E55" s="18">
        <f t="shared" si="13"/>
        <v>1.6881848966127395</v>
      </c>
      <c r="F55" s="21"/>
      <c r="G55" s="55"/>
      <c r="H55" s="93" t="s">
        <v>25</v>
      </c>
      <c r="I55" s="93">
        <v>73446</v>
      </c>
      <c r="J55" s="65"/>
      <c r="K55" s="93"/>
      <c r="L55" s="93"/>
      <c r="M55" s="5">
        <f t="shared" si="14"/>
        <v>95.625531597430623</v>
      </c>
      <c r="N55" s="6" t="e">
        <f>100*J55*K55*(L55*0.00000001^3)^2*M55/INDEX('Reference-aQuartz'!$H$4:$H$17,MATCH($B$44,'Reference-aQuartz'!$A$4:$A$17,0))</f>
        <v>#N/A</v>
      </c>
      <c r="O55" s="32" t="e">
        <f t="shared" si="15"/>
        <v>#N/A</v>
      </c>
      <c r="P55" s="31" t="e">
        <f t="shared" si="11"/>
        <v>#N/A</v>
      </c>
      <c r="Q55" s="69"/>
    </row>
    <row r="56" spans="1:22" x14ac:dyDescent="0.25">
      <c r="A56" s="1" t="s">
        <v>14</v>
      </c>
      <c r="B56" s="12">
        <f>0.65*'HA-Ref'!B13+0.35*B13</f>
        <v>0.08</v>
      </c>
      <c r="C56" s="18">
        <f t="shared" si="12"/>
        <v>8.0087195723257384E-2</v>
      </c>
      <c r="D56" s="18">
        <f>INDEX(MAC!$H$3:$H$16,MATCH($A56,MAC!$A$3:$A$16,0))</f>
        <v>97.328178229861322</v>
      </c>
      <c r="E56" s="18">
        <f t="shared" si="13"/>
        <v>7.7947408592829823E-2</v>
      </c>
      <c r="F56" s="21"/>
      <c r="G56" s="55"/>
      <c r="H56" s="93" t="s">
        <v>21</v>
      </c>
      <c r="I56" s="93">
        <v>62405</v>
      </c>
      <c r="J56" s="65"/>
      <c r="K56" s="93"/>
      <c r="L56" s="93"/>
      <c r="M56" s="5">
        <f t="shared" si="14"/>
        <v>95.625531597430623</v>
      </c>
      <c r="N56" s="6" t="e">
        <f>100*J56*K56*(L56*0.00000001^3)^2*M56/INDEX('Reference-aQuartz'!$H$4:$H$17,MATCH($B$44,'Reference-aQuartz'!$A$4:$A$17,0))</f>
        <v>#N/A</v>
      </c>
      <c r="O56" s="32" t="e">
        <f t="shared" si="15"/>
        <v>#N/A</v>
      </c>
      <c r="P56" s="31" t="e">
        <f t="shared" si="11"/>
        <v>#N/A</v>
      </c>
      <c r="Q56" s="69"/>
    </row>
    <row r="57" spans="1:22" x14ac:dyDescent="0.25">
      <c r="A57" s="1" t="s">
        <v>58</v>
      </c>
      <c r="B57" s="12">
        <f>0.65*'HA-Ref'!B14+0.35*B14</f>
        <v>0.45000000000000007</v>
      </c>
      <c r="C57" s="18">
        <f t="shared" si="12"/>
        <v>0.45049047594332287</v>
      </c>
      <c r="D57" s="18">
        <f>INDEX(MAC!$H$3:$H$16,MATCH($A57,MAC!$A$3:$A$16,0))</f>
        <v>19.10926020222594</v>
      </c>
      <c r="E57" s="18">
        <f t="shared" si="13"/>
        <v>8.6085397234255623E-2</v>
      </c>
      <c r="F57" s="21"/>
      <c r="G57" s="55"/>
      <c r="H57" s="93" t="s">
        <v>87</v>
      </c>
      <c r="I57" s="93">
        <v>155395</v>
      </c>
      <c r="J57" s="65"/>
      <c r="K57" s="93"/>
      <c r="L57" s="93"/>
      <c r="M57" s="5">
        <f t="shared" si="14"/>
        <v>95.625531597430623</v>
      </c>
      <c r="N57" s="6" t="e">
        <f>100*J57*K57*(L57*0.00000001^3)^2*M57/INDEX('Reference-aQuartz'!$H$4:$H$17,MATCH($B$44,'Reference-aQuartz'!$A$4:$A$17,0))</f>
        <v>#N/A</v>
      </c>
      <c r="O57" s="32" t="e">
        <f t="shared" si="15"/>
        <v>#N/A</v>
      </c>
      <c r="P57" s="31" t="e">
        <f t="shared" si="11"/>
        <v>#N/A</v>
      </c>
      <c r="Q57" s="69"/>
    </row>
    <row r="58" spans="1:22" x14ac:dyDescent="0.25">
      <c r="A58" s="1" t="s">
        <v>59</v>
      </c>
      <c r="B58" s="12">
        <f>0.65*'HA-Ref'!B15+0.35*B15</f>
        <v>0.35</v>
      </c>
      <c r="C58" s="18">
        <f t="shared" si="12"/>
        <v>0.35038148128925106</v>
      </c>
      <c r="D58" s="18">
        <f>INDEX(MAC!$H$3:$H$16,MATCH($A58,MAC!$A$3:$A$16,0))</f>
        <v>124.47726788956365</v>
      </c>
      <c r="E58" s="18">
        <f t="shared" si="13"/>
        <v>0.43614529509984235</v>
      </c>
      <c r="F58" s="21"/>
      <c r="G58" s="55"/>
      <c r="H58" s="93" t="s">
        <v>88</v>
      </c>
      <c r="I58" s="93">
        <v>81963</v>
      </c>
      <c r="J58" s="82"/>
      <c r="K58" s="93"/>
      <c r="L58" s="93"/>
      <c r="M58" s="5">
        <f t="shared" si="14"/>
        <v>95.625531597430623</v>
      </c>
      <c r="N58" s="6" t="e">
        <f>100*J58*K58*(L58*0.00000001^3)^2*M58/INDEX('Reference-aQuartz'!$H$4:$H$17,MATCH($B$44,'Reference-aQuartz'!$A$4:$A$17,0))</f>
        <v>#N/A</v>
      </c>
      <c r="O58" s="32" t="e">
        <f t="shared" si="15"/>
        <v>#N/A</v>
      </c>
      <c r="P58" s="31" t="e">
        <f t="shared" si="11"/>
        <v>#N/A</v>
      </c>
      <c r="Q58" s="69"/>
    </row>
    <row r="59" spans="1:22" x14ac:dyDescent="0.25">
      <c r="A59" s="1" t="s">
        <v>60</v>
      </c>
      <c r="B59" s="12">
        <f>0.65*'HA-Ref'!B16+0.35*B16</f>
        <v>0.08</v>
      </c>
      <c r="C59" s="18">
        <f t="shared" si="12"/>
        <v>8.0087195723257384E-2</v>
      </c>
      <c r="D59" s="18">
        <f>INDEX(MAC!$H$3:$H$16,MATCH($A59,MAC!$A$3:$A$16,0))</f>
        <v>39.431437267071992</v>
      </c>
      <c r="E59" s="18">
        <f t="shared" si="13"/>
        <v>3.1579532340573396E-2</v>
      </c>
      <c r="F59" s="21"/>
      <c r="G59" s="55"/>
      <c r="H59" s="93" t="s">
        <v>89</v>
      </c>
      <c r="I59" s="93">
        <v>59327</v>
      </c>
      <c r="J59" s="65"/>
      <c r="K59" s="93"/>
      <c r="L59" s="93"/>
      <c r="M59" s="5">
        <f t="shared" si="14"/>
        <v>95.625531597430623</v>
      </c>
      <c r="N59" s="6" t="e">
        <f>100*J59*K59*(L59*0.00000001^3)^2*M59/INDEX('Reference-aQuartz'!$H$4:$H$17,MATCH($B$44,'Reference-aQuartz'!$A$4:$A$17,0))</f>
        <v>#N/A</v>
      </c>
      <c r="O59" s="32" t="e">
        <f t="shared" si="15"/>
        <v>#N/A</v>
      </c>
      <c r="P59" s="31" t="e">
        <f t="shared" si="11"/>
        <v>#N/A</v>
      </c>
      <c r="Q59" s="69"/>
    </row>
    <row r="60" spans="1:22" x14ac:dyDescent="0.25">
      <c r="A60" s="19" t="s">
        <v>23</v>
      </c>
      <c r="B60" s="12">
        <f>0.65*'HA-Ref'!B17+0.35*B17</f>
        <v>9.5000000000000001E-2</v>
      </c>
      <c r="C60" s="18">
        <f t="shared" si="12"/>
        <v>9.5103544921368147E-2</v>
      </c>
      <c r="D60" s="18">
        <f>INDEX(MAC!$H$3:$H$16,MATCH($A60,MAC!$A$3:$A$16,0))</f>
        <v>197.69998688868492</v>
      </c>
      <c r="E60" s="18">
        <f t="shared" si="13"/>
        <v>0.18801969584021941</v>
      </c>
      <c r="F60" s="21"/>
      <c r="G60" s="55"/>
      <c r="H60" s="93" t="s">
        <v>90</v>
      </c>
      <c r="I60" s="93">
        <v>2105252</v>
      </c>
      <c r="J60" s="65"/>
      <c r="K60" s="93"/>
      <c r="L60" s="93"/>
      <c r="M60" s="5">
        <f t="shared" si="14"/>
        <v>95.625531597430623</v>
      </c>
      <c r="N60" s="6" t="e">
        <f>100*J60*K60*(L60*0.00000001^3)^2*M60/INDEX('Reference-aQuartz'!$H$4:$H$17,MATCH($B$44,'Reference-aQuartz'!$A$4:$A$17,0))</f>
        <v>#N/A</v>
      </c>
      <c r="O60" s="32" t="e">
        <f t="shared" si="15"/>
        <v>#N/A</v>
      </c>
      <c r="P60" s="31" t="e">
        <f t="shared" si="11"/>
        <v>#N/A</v>
      </c>
      <c r="Q60" s="69"/>
    </row>
    <row r="61" spans="1:22" x14ac:dyDescent="0.25">
      <c r="A61" s="1" t="s">
        <v>66</v>
      </c>
      <c r="B61" s="12">
        <f>0.65*'HA-Ref'!B18+0.35*B18</f>
        <v>3.56</v>
      </c>
      <c r="C61" s="18">
        <f>B61</f>
        <v>3.56</v>
      </c>
      <c r="D61" s="18">
        <f>INDEX(MAC!$H$3:$H$16,MATCH($A61,MAC!$A$3:$A$16,0))</f>
        <v>9.592279079279237</v>
      </c>
      <c r="E61" s="18">
        <f t="shared" si="13"/>
        <v>0.34148513522234081</v>
      </c>
      <c r="F61" s="21"/>
      <c r="G61" s="55"/>
      <c r="H61" s="21"/>
      <c r="I61" s="21"/>
      <c r="J61" s="21"/>
      <c r="K61" s="21"/>
      <c r="L61" s="21"/>
      <c r="M61" s="5">
        <f t="shared" si="14"/>
        <v>95.625531597430623</v>
      </c>
      <c r="N61" s="6" t="e">
        <f>100*J61*K61*(L61*0.00000001^3)^2*M61/INDEX('Reference-aQuartz'!$H$4:$H$17,MATCH($B$44,'Reference-aQuartz'!$A$4:$A$17,0))</f>
        <v>#N/A</v>
      </c>
      <c r="O61" s="32" t="e">
        <f t="shared" si="15"/>
        <v>#N/A</v>
      </c>
      <c r="P61" s="31" t="e">
        <f t="shared" si="11"/>
        <v>#N/A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107" t="s">
        <v>7</v>
      </c>
      <c r="I62" s="108"/>
      <c r="J62" s="108"/>
      <c r="K62" s="108"/>
      <c r="L62" s="108"/>
      <c r="M62" s="109"/>
      <c r="N62" s="6" t="e">
        <f>SUM(N49:N61)</f>
        <v>#N/A</v>
      </c>
      <c r="O62" s="31" t="e">
        <f t="shared" ref="O62:P62" si="17">SUM(O49:O61)</f>
        <v>#N/A</v>
      </c>
      <c r="P62" s="31" t="e">
        <f t="shared" si="17"/>
        <v>#N/A</v>
      </c>
    </row>
    <row r="63" spans="1:22" x14ac:dyDescent="0.25">
      <c r="A63" s="93" t="s">
        <v>7</v>
      </c>
      <c r="B63" s="40">
        <f>SUM(B49:B60)</f>
        <v>96.334999999999994</v>
      </c>
      <c r="C63" s="40">
        <f>SUM(C49:C61)</f>
        <v>100.00000000000001</v>
      </c>
      <c r="D63" s="93" t="s">
        <v>29</v>
      </c>
      <c r="E63" s="56">
        <f>SUM(E49:E61)</f>
        <v>95.625531597430623</v>
      </c>
      <c r="F63" s="41">
        <f>E63*(1-C45)+D62*C45</f>
        <v>95.625531597430623</v>
      </c>
      <c r="H63" s="107" t="s">
        <v>28</v>
      </c>
      <c r="I63" s="108"/>
      <c r="J63" s="108"/>
      <c r="K63" s="108"/>
      <c r="L63" s="108"/>
      <c r="M63" s="109"/>
      <c r="N63" s="6" t="e">
        <f>100-N62</f>
        <v>#N/A</v>
      </c>
      <c r="O63" s="31" t="e">
        <f>100-O62</f>
        <v>#N/A</v>
      </c>
      <c r="P63" s="31" t="e">
        <f>100-P62</f>
        <v>#N/A</v>
      </c>
    </row>
  </sheetData>
  <mergeCells count="14">
    <mergeCell ref="H62:M62"/>
    <mergeCell ref="H63:M63"/>
    <mergeCell ref="H40:M40"/>
    <mergeCell ref="H41:M41"/>
    <mergeCell ref="R49:R50"/>
    <mergeCell ref="S49:S50"/>
    <mergeCell ref="T49:T50"/>
    <mergeCell ref="U49:U50"/>
    <mergeCell ref="H18:M18"/>
    <mergeCell ref="H19:M19"/>
    <mergeCell ref="R27:R28"/>
    <mergeCell ref="S27:S28"/>
    <mergeCell ref="T27:T28"/>
    <mergeCell ref="U27:U2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4F143-97AB-4DE9-84E1-197A27CB3BDA}">
  <sheetPr>
    <tabColor theme="9"/>
  </sheetPr>
  <dimension ref="A1:AV63"/>
  <sheetViews>
    <sheetView topLeftCell="E1" zoomScaleNormal="100" workbookViewId="0">
      <selection activeCell="O22" sqref="O22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8.570312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58" t="s">
        <v>32</v>
      </c>
      <c r="B1" s="59">
        <v>44734</v>
      </c>
      <c r="H1" s="38" t="s">
        <v>20</v>
      </c>
      <c r="I1" s="38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x14ac:dyDescent="0.25">
      <c r="A2" s="60" t="s">
        <v>72</v>
      </c>
      <c r="B2" s="61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62" t="s">
        <v>6</v>
      </c>
      <c r="I3" s="27">
        <v>8.7899999999999991</v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25" t="s">
        <v>8</v>
      </c>
      <c r="B4" s="25" t="s">
        <v>30</v>
      </c>
      <c r="C4" s="25" t="s">
        <v>31</v>
      </c>
      <c r="D4" s="25" t="s">
        <v>68</v>
      </c>
      <c r="E4" s="25" t="s">
        <v>69</v>
      </c>
      <c r="H4" s="25" t="s">
        <v>9</v>
      </c>
      <c r="I4" s="25" t="s">
        <v>86</v>
      </c>
      <c r="J4" s="25" t="s">
        <v>2</v>
      </c>
      <c r="K4" s="25" t="s">
        <v>3</v>
      </c>
      <c r="L4" s="25" t="s">
        <v>4</v>
      </c>
      <c r="M4" s="25" t="s">
        <v>5</v>
      </c>
      <c r="N4" s="5" t="s">
        <v>15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25" t="s">
        <v>11</v>
      </c>
      <c r="B5" s="25" t="s">
        <v>93</v>
      </c>
      <c r="C5" s="25" t="s">
        <v>93</v>
      </c>
      <c r="D5" s="25" t="s">
        <v>13</v>
      </c>
      <c r="E5" s="25" t="s">
        <v>13</v>
      </c>
      <c r="H5" s="25" t="s">
        <v>11</v>
      </c>
      <c r="I5" s="25" t="s">
        <v>11</v>
      </c>
      <c r="J5" s="25" t="s">
        <v>11</v>
      </c>
      <c r="K5" s="25" t="s">
        <v>16</v>
      </c>
      <c r="L5" s="25" t="s">
        <v>19</v>
      </c>
      <c r="M5" s="25" t="s">
        <v>13</v>
      </c>
      <c r="N5" s="5" t="s">
        <v>12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2</v>
      </c>
      <c r="C6" s="18">
        <f t="shared" ref="C6:C17" si="0">B6*(100-B$18)/B$19</f>
        <v>1.9990957465307966</v>
      </c>
      <c r="D6" s="18">
        <f>INDEX(MAC!$H$3:$H$16,MATCH('LA-LL'!$A6,MAC!$A$3:$A$16,0))</f>
        <v>35.900659077291785</v>
      </c>
      <c r="E6" s="18">
        <f>C6*D6/100</f>
        <v>0.71768854859066233</v>
      </c>
      <c r="F6" s="39"/>
      <c r="G6" s="39"/>
      <c r="H6" s="25" t="s">
        <v>25</v>
      </c>
      <c r="I6" s="25">
        <v>73446</v>
      </c>
      <c r="J6" s="25">
        <v>3.0647199999999999E-3</v>
      </c>
      <c r="K6" s="25">
        <v>2.71</v>
      </c>
      <c r="L6" s="25">
        <v>367.39749999999998</v>
      </c>
      <c r="M6" s="5">
        <f>$E$19</f>
        <v>73.248692672754302</v>
      </c>
      <c r="N6" s="6">
        <f>100*J6*K6*(L6*0.00000001^3)^2*M6/INDEX('Reference-aQuartz'!$H$4:$H$17,MATCH($B$1,'Reference-aQuartz'!$A$4:$A$17,0))</f>
        <v>95.299042630141969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0.4</v>
      </c>
      <c r="C7" s="18">
        <f t="shared" si="0"/>
        <v>0.39981914930615936</v>
      </c>
      <c r="D7" s="18">
        <f>INDEX(MAC!$H$3:$H$16,MATCH('LA-LL'!$A7,MAC!$A$3:$A$16,0))</f>
        <v>31.664851266660783</v>
      </c>
      <c r="E7" s="18">
        <f t="shared" ref="E7:E10" si="1">C7*D7/100</f>
        <v>0.12660213896342376</v>
      </c>
      <c r="F7" s="39"/>
      <c r="G7" s="39"/>
      <c r="H7" s="25" t="s">
        <v>21</v>
      </c>
      <c r="I7" s="25">
        <v>174</v>
      </c>
      <c r="J7" s="25">
        <v>2.2235000000000001E-4</v>
      </c>
      <c r="K7" s="25">
        <v>2.63</v>
      </c>
      <c r="L7" s="25">
        <v>113.7403</v>
      </c>
      <c r="M7" s="5">
        <f>$E$19</f>
        <v>73.248692672754302</v>
      </c>
      <c r="N7" s="6">
        <f>100*J7*K7*(L7*0.00000001^3)^2*M7/INDEX('Reference-aQuartz'!$H$4:$H$17,MATCH($B$1,'Reference-aQuartz'!$A$4:$A$17,0))</f>
        <v>0.64309875960310814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0.12</v>
      </c>
      <c r="C8" s="18">
        <f t="shared" si="0"/>
        <v>0.1199457447918478</v>
      </c>
      <c r="D8" s="18">
        <f>INDEX(MAC!$H$3:$H$16,MATCH('LA-LL'!$A8,MAC!$A$3:$A$16,0))</f>
        <v>214.68463619455559</v>
      </c>
      <c r="E8" s="18">
        <f t="shared" si="1"/>
        <v>0.25750508583722859</v>
      </c>
      <c r="F8" s="39"/>
      <c r="G8" s="39"/>
      <c r="H8" s="25"/>
      <c r="I8" s="25"/>
      <c r="J8" s="25"/>
      <c r="K8" s="25"/>
      <c r="L8" s="25"/>
      <c r="M8" s="5"/>
      <c r="N8" s="6">
        <f>100*J8*K8*(L8*0.00000001^3)^2*M8/INDEX('Reference-aQuartz'!$H$4:$H$17,MATCH($B$1,'Reference-aQuartz'!$A$4:$A$17,0))</f>
        <v>0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0.3</v>
      </c>
      <c r="C9" s="18">
        <f t="shared" si="0"/>
        <v>0.29986436197961952</v>
      </c>
      <c r="D9" s="18">
        <f>INDEX(MAC!$H$3:$H$16,MATCH('LA-LL'!$A9,MAC!$A$3:$A$16,0))</f>
        <v>28.686693628423974</v>
      </c>
      <c r="E9" s="18">
        <f t="shared" si="1"/>
        <v>8.6021170821921705E-2</v>
      </c>
      <c r="F9" s="39"/>
      <c r="G9" s="39"/>
      <c r="H9" s="25"/>
      <c r="I9" s="25"/>
      <c r="J9" s="25"/>
      <c r="K9" s="25"/>
      <c r="L9" s="25"/>
      <c r="M9" s="5"/>
      <c r="N9" s="6">
        <f>100*J9*K9*(L9*0.00000001^3)^2*M9/INDEX('Reference-aQuartz'!$H$4:$H$17,MATCH($B$1,'Reference-aQuartz'!$A$4:$A$17,0))</f>
        <v>0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54.2</v>
      </c>
      <c r="C10" s="18">
        <f t="shared" si="0"/>
        <v>54.175494730984596</v>
      </c>
      <c r="D10" s="18">
        <f>INDEX(MAC!$H$3:$H$16,MATCH('LA-LL'!$A10,MAC!$A$3:$A$16,0))</f>
        <v>124.77929454143408</v>
      </c>
      <c r="E10" s="18">
        <f t="shared" si="1"/>
        <v>67.599800139654377</v>
      </c>
      <c r="F10" s="39"/>
      <c r="G10" s="39"/>
      <c r="H10" s="25"/>
      <c r="I10" s="25"/>
      <c r="J10" s="25"/>
      <c r="K10" s="25"/>
      <c r="L10" s="25"/>
      <c r="M10" s="5"/>
      <c r="N10" s="6">
        <f>100*J10*K10*(L10*0.00000001^3)^2*M10/INDEX('Reference-aQuartz'!$H$4:$H$17,MATCH($B$1,'Reference-aQuartz'!$A$4:$A$17,0))</f>
        <v>0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0.06</v>
      </c>
      <c r="C11" s="18">
        <f t="shared" si="0"/>
        <v>5.9972872395923901E-2</v>
      </c>
      <c r="D11" s="18">
        <f>INDEX(MAC!$H$3:$H$16,MATCH('LA-LL'!$A11,MAC!$A$3:$A$16,0))</f>
        <v>122.32505440840811</v>
      </c>
      <c r="E11" s="18">
        <f t="shared" ref="E11:E18" si="2">C11*D11/100</f>
        <v>7.3361848788599082E-2</v>
      </c>
      <c r="F11" s="39"/>
      <c r="G11" s="39"/>
      <c r="H11" s="25"/>
      <c r="I11" s="25"/>
      <c r="J11" s="25"/>
      <c r="K11" s="25"/>
      <c r="L11" s="25"/>
      <c r="M11" s="5"/>
      <c r="N11" s="6">
        <f>100*J11*K11*(L11*0.00000001^3)^2*M11/INDEX('Reference-aQuartz'!$H$4:$H$17,MATCH($B$1,'Reference-aQuartz'!$A$4:$A$17,0))</f>
        <v>0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0.08</v>
      </c>
      <c r="C12" s="18">
        <f t="shared" si="0"/>
        <v>7.9963829861231864E-2</v>
      </c>
      <c r="D12" s="18">
        <f>INDEX(MAC!$H$3:$H$16,MATCH('LA-LL'!$A12,MAC!$A$3:$A$16,0))</f>
        <v>44.261072668681777</v>
      </c>
      <c r="E12" s="18">
        <f t="shared" si="2"/>
        <v>3.5392848843540894E-2</v>
      </c>
      <c r="F12" s="39"/>
      <c r="G12" s="39"/>
      <c r="H12" s="25"/>
      <c r="I12" s="25"/>
      <c r="J12" s="25"/>
      <c r="K12" s="25"/>
      <c r="L12" s="25"/>
      <c r="M12" s="5"/>
      <c r="N12" s="6">
        <f>100*J12*K12*(L12*0.00000001^3)^2*M12/INDEX('Reference-aQuartz'!$H$4:$H$17,MATCH($B$1,'Reference-aQuartz'!$A$4:$A$17,0))</f>
        <v>0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0.16</v>
      </c>
      <c r="C13" s="18">
        <f t="shared" si="0"/>
        <v>0.15992765972246373</v>
      </c>
      <c r="D13" s="18">
        <f>INDEX(MAC!$H$3:$H$16,MATCH('LA-LL'!$A13,MAC!$A$3:$A$16,0))</f>
        <v>97.328178229861322</v>
      </c>
      <c r="E13" s="18">
        <f t="shared" si="2"/>
        <v>0.15565467769352564</v>
      </c>
      <c r="F13" s="39"/>
      <c r="G13" s="39"/>
      <c r="H13" s="25"/>
      <c r="I13" s="25"/>
      <c r="J13" s="25"/>
      <c r="K13" s="25"/>
      <c r="L13" s="25"/>
      <c r="M13" s="5"/>
      <c r="N13" s="6">
        <f>100*J13*K13*(L13*0.00000001^3)^2*M13/INDEX('Reference-aQuartz'!$H$4:$H$17,MATCH($B$1,'Reference-aQuartz'!$A$4:$A$17,0))</f>
        <v>0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0.03</v>
      </c>
      <c r="C14" s="18">
        <f t="shared" si="0"/>
        <v>2.9986436197961951E-2</v>
      </c>
      <c r="D14" s="18">
        <f>INDEX(MAC!$H$3:$H$16,MATCH('LA-LL'!$A14,MAC!$A$3:$A$16,0))</f>
        <v>19.10926020222594</v>
      </c>
      <c r="E14" s="18">
        <f t="shared" si="2"/>
        <v>5.7301861184430158E-3</v>
      </c>
      <c r="F14" s="39"/>
      <c r="G14" s="39"/>
      <c r="H14" s="25"/>
      <c r="I14" s="25"/>
      <c r="J14" s="25"/>
      <c r="K14" s="25"/>
      <c r="L14" s="25"/>
      <c r="M14" s="5"/>
      <c r="N14" s="6">
        <f>100*J14*K14*(L14*0.00000001^3)^2*M14/INDEX('Reference-aQuartz'!$H$4:$H$17,MATCH($B$1,'Reference-aQuartz'!$A$4:$A$17,0))</f>
        <v>0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0.03</v>
      </c>
      <c r="C15" s="18">
        <f t="shared" si="0"/>
        <v>2.9986436197961951E-2</v>
      </c>
      <c r="D15" s="18">
        <f>INDEX(MAC!$H$3:$H$16,MATCH('LA-LL'!$A15,MAC!$A$3:$A$16,0))</f>
        <v>124.47726788956365</v>
      </c>
      <c r="E15" s="18">
        <f t="shared" si="2"/>
        <v>3.7326296516670181E-2</v>
      </c>
      <c r="F15" s="39"/>
      <c r="G15" s="39"/>
      <c r="H15" s="25"/>
      <c r="I15" s="25"/>
      <c r="J15" s="25"/>
      <c r="K15" s="25"/>
      <c r="L15" s="25"/>
      <c r="M15" s="5"/>
      <c r="N15" s="6">
        <f>100*J15*K15*(L15*0.00000001^3)^2*M15/INDEX('Reference-aQuartz'!$H$4:$H$17,MATCH($B$1,'Reference-aQuartz'!$A$4:$A$17,0))</f>
        <v>0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0.11</v>
      </c>
      <c r="C16" s="18">
        <f t="shared" si="0"/>
        <v>0.10995026605919382</v>
      </c>
      <c r="D16" s="18">
        <f>INDEX(MAC!$H$3:$H$16,MATCH('LA-LL'!$A16,MAC!$A$3:$A$16,0))</f>
        <v>39.431437267071992</v>
      </c>
      <c r="E16" s="18">
        <f t="shared" si="2"/>
        <v>4.3354970186109759E-2</v>
      </c>
      <c r="F16" s="39"/>
      <c r="G16" s="39"/>
      <c r="H16" s="25"/>
      <c r="I16" s="25"/>
      <c r="J16" s="25"/>
      <c r="K16" s="25"/>
      <c r="L16" s="25"/>
      <c r="M16" s="5"/>
      <c r="N16" s="6">
        <f>100*J16*K16*(L16*0.00000001^3)^2*M16/INDEX('Reference-aQuartz'!$H$4:$H$17,MATCH($B$1,'Reference-aQuartz'!$A$4:$A$17,0))</f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1.6E-2</v>
      </c>
      <c r="C17" s="18">
        <f t="shared" si="0"/>
        <v>1.5992765972246373E-2</v>
      </c>
      <c r="D17" s="18">
        <f>INDEX(MAC!$H$3:$H$16,MATCH('LA-LL'!$A17,MAC!$A$3:$A$16,0))</f>
        <v>197.69998688868492</v>
      </c>
      <c r="E17" s="18">
        <f t="shared" si="2"/>
        <v>3.1617696230269138E-2</v>
      </c>
      <c r="H17" s="21"/>
      <c r="I17" s="21"/>
      <c r="J17" s="21"/>
      <c r="K17" s="21"/>
      <c r="L17" s="21"/>
      <c r="M17" s="5"/>
      <c r="N17" s="37">
        <f>100*J17*K17*(L17*0.00000001^3)^2*M17/INDEX('Reference-aQuartz'!$H$4:$H$17,MATCH($B$1,'Reference-aQuartz'!$A$4:$A$17,0))</f>
        <v>0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42.52</v>
      </c>
      <c r="C18" s="18">
        <f>B18</f>
        <v>42.52</v>
      </c>
      <c r="D18" s="18">
        <f>INDEX(MAC!$H$3:$H$16,MATCH('LA-LL'!$A18,MAC!$A$3:$A$16,0))</f>
        <v>9.592279079279237</v>
      </c>
      <c r="E18" s="18">
        <f t="shared" si="2"/>
        <v>4.0786370645095325</v>
      </c>
      <c r="H18" s="104" t="s">
        <v>7</v>
      </c>
      <c r="I18" s="105"/>
      <c r="J18" s="105"/>
      <c r="K18" s="105"/>
      <c r="L18" s="105"/>
      <c r="M18" s="106"/>
      <c r="N18" s="37">
        <f>SUM(N6:N17)</f>
        <v>95.942141389745075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25" t="s">
        <v>7</v>
      </c>
      <c r="B19" s="40">
        <f>SUM(B6:B17)</f>
        <v>57.506</v>
      </c>
      <c r="C19" s="40">
        <f>SUM(C6:C18)</f>
        <v>100</v>
      </c>
      <c r="D19" s="25" t="s">
        <v>29</v>
      </c>
      <c r="E19" s="41">
        <f>SUM(E6:E18)</f>
        <v>73.248692672754302</v>
      </c>
      <c r="H19" s="107" t="s">
        <v>28</v>
      </c>
      <c r="I19" s="108"/>
      <c r="J19" s="108"/>
      <c r="K19" s="108"/>
      <c r="L19" s="108"/>
      <c r="M19" s="109"/>
      <c r="N19" s="37">
        <f>100-N18</f>
        <v>4.0578586102549252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58" t="s">
        <v>32</v>
      </c>
      <c r="B22" s="59">
        <v>44734</v>
      </c>
      <c r="C22" s="47" t="s">
        <v>85</v>
      </c>
      <c r="D22" s="48"/>
      <c r="E22" s="48" t="s">
        <v>77</v>
      </c>
      <c r="F22" s="49"/>
    </row>
    <row r="23" spans="1:48" x14ac:dyDescent="0.25">
      <c r="A23" s="60" t="s">
        <v>73</v>
      </c>
      <c r="B23" s="63"/>
      <c r="C23" s="51">
        <v>0.35</v>
      </c>
      <c r="D23" s="52"/>
      <c r="E23" s="52">
        <v>0.23</v>
      </c>
      <c r="F23" s="53"/>
    </row>
    <row r="24" spans="1:48" x14ac:dyDescent="0.25">
      <c r="H24" s="62" t="s">
        <v>6</v>
      </c>
      <c r="I24" s="27">
        <v>4.43</v>
      </c>
      <c r="J24" s="33"/>
    </row>
    <row r="25" spans="1:48" x14ac:dyDescent="0.25">
      <c r="A25" s="25" t="s">
        <v>8</v>
      </c>
      <c r="B25" s="25" t="s">
        <v>30</v>
      </c>
      <c r="C25" s="25" t="s">
        <v>31</v>
      </c>
      <c r="D25" s="25" t="s">
        <v>68</v>
      </c>
      <c r="E25" s="25" t="s">
        <v>69</v>
      </c>
      <c r="F25" s="25" t="s">
        <v>74</v>
      </c>
      <c r="G25" s="54"/>
      <c r="H25" s="25" t="s">
        <v>9</v>
      </c>
      <c r="I25" s="25" t="s">
        <v>86</v>
      </c>
      <c r="J25" s="25" t="s">
        <v>2</v>
      </c>
      <c r="K25" s="25" t="s">
        <v>3</v>
      </c>
      <c r="L25" s="25" t="s">
        <v>4</v>
      </c>
      <c r="M25" s="25" t="s">
        <v>5</v>
      </c>
      <c r="N25" s="5" t="s">
        <v>15</v>
      </c>
      <c r="O25" s="5" t="s">
        <v>15</v>
      </c>
      <c r="P25" s="5" t="s">
        <v>15</v>
      </c>
      <c r="Q25" s="88" t="s">
        <v>96</v>
      </c>
      <c r="R25" s="89"/>
      <c r="S25" s="88" t="s">
        <v>122</v>
      </c>
      <c r="T25" s="88" t="s">
        <v>123</v>
      </c>
      <c r="U25" s="88" t="s">
        <v>82</v>
      </c>
      <c r="V25" s="36" t="s">
        <v>83</v>
      </c>
    </row>
    <row r="26" spans="1:48" x14ac:dyDescent="0.25">
      <c r="A26" s="25" t="s">
        <v>11</v>
      </c>
      <c r="B26" s="25" t="s">
        <v>93</v>
      </c>
      <c r="C26" s="25" t="s">
        <v>93</v>
      </c>
      <c r="D26" s="25" t="s">
        <v>13</v>
      </c>
      <c r="E26" s="25" t="s">
        <v>13</v>
      </c>
      <c r="F26" s="25" t="s">
        <v>13</v>
      </c>
      <c r="G26" s="54"/>
      <c r="H26" s="25" t="s">
        <v>11</v>
      </c>
      <c r="I26" s="25" t="s">
        <v>11</v>
      </c>
      <c r="J26" s="25" t="s">
        <v>11</v>
      </c>
      <c r="K26" s="25" t="s">
        <v>16</v>
      </c>
      <c r="L26" s="25" t="s">
        <v>19</v>
      </c>
      <c r="M26" s="25" t="s">
        <v>13</v>
      </c>
      <c r="N26" s="5" t="s">
        <v>75</v>
      </c>
      <c r="O26" s="88" t="s">
        <v>113</v>
      </c>
      <c r="P26" s="68" t="s">
        <v>76</v>
      </c>
      <c r="Q26" s="88" t="s">
        <v>76</v>
      </c>
      <c r="R26" s="89"/>
      <c r="S26" s="88" t="s">
        <v>76</v>
      </c>
      <c r="T26" s="88" t="s">
        <v>76</v>
      </c>
      <c r="U26" s="88" t="s">
        <v>11</v>
      </c>
      <c r="V26" s="36" t="s">
        <v>11</v>
      </c>
    </row>
    <row r="27" spans="1:48" x14ac:dyDescent="0.25">
      <c r="A27" s="1" t="s">
        <v>53</v>
      </c>
      <c r="B27" s="12">
        <f>0.65*'LA-Ref 0.5'!B6+0.35*B6</f>
        <v>13.18</v>
      </c>
      <c r="C27" s="18">
        <f>B27*(100-B$39)/B$41</f>
        <v>13.163615138536965</v>
      </c>
      <c r="D27" s="18">
        <f>INDEX(MAC!$H$3:$H$16,MATCH($A27,MAC!$A$3:$A$16,0))</f>
        <v>35.900659077291785</v>
      </c>
      <c r="E27" s="18">
        <f>C27*D27/100</f>
        <v>4.7258245931329261</v>
      </c>
      <c r="F27" s="21"/>
      <c r="G27" s="55"/>
      <c r="H27" s="64" t="s">
        <v>34</v>
      </c>
      <c r="I27" s="64"/>
      <c r="J27" s="65">
        <v>9.9999999999999995E-8</v>
      </c>
      <c r="K27" s="64">
        <f>'LA-Ref 0.5'!K6</f>
        <v>3.15</v>
      </c>
      <c r="L27" s="81">
        <f>'LA-Ref 0.5'!L6</f>
        <v>2166.0790000000002</v>
      </c>
      <c r="M27" s="5">
        <f>$F$41</f>
        <v>61.838142013084216</v>
      </c>
      <c r="N27" s="6">
        <f>100*J27*K27*(L27*0.00000001^3)^2*M27/INDEX('Reference-aQuartz'!$H$4:$H$17,MATCH($B$22,'Reference-aQuartz'!$A$4:$A$17,0))</f>
        <v>0.1060649136845893</v>
      </c>
      <c r="O27" s="31">
        <f>P27*100/65</f>
        <v>0.20070745204929974</v>
      </c>
      <c r="P27" s="32">
        <f t="shared" ref="P27:P39" si="3">N27*(1+$E$23)</f>
        <v>0.13045984383204484</v>
      </c>
      <c r="Q27" s="69"/>
      <c r="R27" s="110" t="s">
        <v>79</v>
      </c>
      <c r="S27" s="100">
        <f>('LA-Ref 0.5'!P6+'LA-Ref 0.5'!P7)*0.65</f>
        <v>42.364846282241693</v>
      </c>
      <c r="T27" s="100">
        <f>P27+P28</f>
        <v>0.13045984383204484</v>
      </c>
      <c r="U27" s="102">
        <f>(S27-T27)/S27</f>
        <v>0.99692056373902793</v>
      </c>
      <c r="V27" s="30">
        <f>(U27*S27+U29*S29+U30*S30+U31*S31)/S32</f>
        <v>0.95975040701730008</v>
      </c>
    </row>
    <row r="28" spans="1:48" x14ac:dyDescent="0.25">
      <c r="A28" s="1" t="s">
        <v>54</v>
      </c>
      <c r="B28" s="12">
        <f>0.65*'LA-Ref 0.5'!B7+0.35*B7</f>
        <v>3.5200000000000005</v>
      </c>
      <c r="C28" s="18">
        <f t="shared" ref="C28:C38" si="4">B28*(100-B$39)/B$41</f>
        <v>3.5156240734180675</v>
      </c>
      <c r="D28" s="18">
        <f>INDEX(MAC!$H$3:$H$16,MATCH($A28,MAC!$A$3:$A$16,0))</f>
        <v>31.664851266660783</v>
      </c>
      <c r="E28" s="18">
        <f t="shared" ref="E28:E39" si="5">C28*D28/100</f>
        <v>1.1132171339427523</v>
      </c>
      <c r="F28" s="21"/>
      <c r="G28" s="55"/>
      <c r="H28" s="64" t="s">
        <v>35</v>
      </c>
      <c r="I28" s="64">
        <v>94742</v>
      </c>
      <c r="J28" s="25">
        <v>0</v>
      </c>
      <c r="K28" s="81">
        <f>'LA-Ref 0.5'!K7</f>
        <v>3.16</v>
      </c>
      <c r="L28" s="81">
        <f>'LA-Ref 0.5'!L7</f>
        <v>4316.1279999999997</v>
      </c>
      <c r="M28" s="5">
        <f t="shared" ref="M28:M39" si="6">$F$41</f>
        <v>61.838142013084216</v>
      </c>
      <c r="N28" s="6">
        <f>100*J28*K28*(L28*0.00000001^3)^2*M28/INDEX('Reference-aQuartz'!$H$4:$H$17,MATCH($B$22,'Reference-aQuartz'!$A$4:$A$17,0))</f>
        <v>0</v>
      </c>
      <c r="O28" s="31">
        <f t="shared" ref="O28:O39" si="7">P28*100/65</f>
        <v>0</v>
      </c>
      <c r="P28" s="32">
        <f t="shared" si="3"/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0.5'!B8+0.35*B8</f>
        <v>2.4274999999999998</v>
      </c>
      <c r="C29" s="18">
        <f t="shared" si="4"/>
        <v>2.4244822267677151</v>
      </c>
      <c r="D29" s="18">
        <f>INDEX(MAC!$H$3:$H$16,MATCH($A29,MAC!$A$3:$A$16,0))</f>
        <v>214.68463619455559</v>
      </c>
      <c r="E29" s="18">
        <f t="shared" si="5"/>
        <v>5.2049908481379292</v>
      </c>
      <c r="F29" s="21"/>
      <c r="G29" s="55"/>
      <c r="H29" s="64" t="s">
        <v>36</v>
      </c>
      <c r="I29" s="64">
        <v>81096</v>
      </c>
      <c r="J29" s="65">
        <v>5.8570000000000003E-5</v>
      </c>
      <c r="K29" s="81">
        <f>'LA-Ref 0.5'!K8</f>
        <v>3.29</v>
      </c>
      <c r="L29" s="81">
        <f>'LA-Ref 0.5'!L8</f>
        <v>347.22930000000002</v>
      </c>
      <c r="M29" s="5">
        <f t="shared" si="6"/>
        <v>61.838142013084216</v>
      </c>
      <c r="N29" s="6">
        <f>100*J29*K29*(L29*0.00000001^3)^2*M29/INDEX('Reference-aQuartz'!$H$4:$H$17,MATCH($B$22,'Reference-aQuartz'!$A$4:$A$17,0))</f>
        <v>1.6673103912053042</v>
      </c>
      <c r="O29" s="31">
        <f t="shared" si="7"/>
        <v>3.1550642787423451</v>
      </c>
      <c r="P29" s="32">
        <f t="shared" si="3"/>
        <v>2.0507917811825243</v>
      </c>
      <c r="Q29" s="69"/>
      <c r="R29" s="89" t="s">
        <v>80</v>
      </c>
      <c r="S29" s="69">
        <f>'LA-Ref 0.5'!P8*0.65</f>
        <v>6.6266164042793037</v>
      </c>
      <c r="T29" s="69">
        <f>P29</f>
        <v>2.0507917811825243</v>
      </c>
      <c r="U29" s="34">
        <f>(S29-T29)/S29</f>
        <v>0.69052203174788052</v>
      </c>
    </row>
    <row r="30" spans="1:48" x14ac:dyDescent="0.25">
      <c r="A30" s="1" t="s">
        <v>0</v>
      </c>
      <c r="B30" s="12">
        <f>0.65*'LA-Ref 0.5'!B9+0.35*B9</f>
        <v>0.755</v>
      </c>
      <c r="C30" s="18">
        <f t="shared" si="4"/>
        <v>0.75406141347461375</v>
      </c>
      <c r="D30" s="18">
        <f>INDEX(MAC!$H$3:$H$16,MATCH($A30,MAC!$A$3:$A$16,0))</f>
        <v>28.686693628423974</v>
      </c>
      <c r="E30" s="18">
        <f t="shared" si="5"/>
        <v>0.2163152874536258</v>
      </c>
      <c r="F30" s="21"/>
      <c r="G30" s="55"/>
      <c r="H30" s="64" t="s">
        <v>37</v>
      </c>
      <c r="I30" s="64">
        <v>1841</v>
      </c>
      <c r="J30" s="25">
        <v>0</v>
      </c>
      <c r="K30" s="81">
        <f>'LA-Ref 0.5'!K9</f>
        <v>3.04</v>
      </c>
      <c r="L30" s="81">
        <f>'LA-Ref 0.5'!L9</f>
        <v>3541.5859999999998</v>
      </c>
      <c r="M30" s="5">
        <f t="shared" si="6"/>
        <v>61.838142013084216</v>
      </c>
      <c r="N30" s="6">
        <f>100*J30*K30*(L30*0.00000001^3)^2*M30/INDEX('Reference-aQuartz'!$H$4:$H$17,MATCH($B$22,'Reference-aQuartz'!$A$4:$A$17,0))</f>
        <v>0</v>
      </c>
      <c r="O30" s="31">
        <f t="shared" si="7"/>
        <v>0</v>
      </c>
      <c r="P30" s="32">
        <f t="shared" si="3"/>
        <v>0</v>
      </c>
      <c r="Q30" s="69"/>
      <c r="R30" s="89" t="s">
        <v>37</v>
      </c>
      <c r="S30" s="69">
        <f>'LA-Ref 0.5'!P9*0.65</f>
        <v>2.3605659551948133</v>
      </c>
      <c r="T30" s="69">
        <f>P30</f>
        <v>0</v>
      </c>
      <c r="U30" s="34">
        <f t="shared" ref="U30:U31" si="8">(S30-T30)/S30</f>
        <v>1</v>
      </c>
    </row>
    <row r="31" spans="1:48" x14ac:dyDescent="0.25">
      <c r="A31" s="1" t="s">
        <v>1</v>
      </c>
      <c r="B31" s="12">
        <f>0.65*'LA-Ref 0.5'!B10+0.35*B10</f>
        <v>60.18</v>
      </c>
      <c r="C31" s="18">
        <f t="shared" si="4"/>
        <v>60.105186573380472</v>
      </c>
      <c r="D31" s="18">
        <f>INDEX(MAC!$H$3:$H$16,MATCH($A31,MAC!$A$3:$A$16,0))</f>
        <v>124.77929454143408</v>
      </c>
      <c r="E31" s="18">
        <f t="shared" si="5"/>
        <v>74.998827789076913</v>
      </c>
      <c r="F31" s="21"/>
      <c r="G31" s="55"/>
      <c r="H31" s="64" t="s">
        <v>38</v>
      </c>
      <c r="I31" s="64">
        <v>98836</v>
      </c>
      <c r="J31" s="65">
        <v>2.7199999999999998E-6</v>
      </c>
      <c r="K31" s="81">
        <f>'LA-Ref 0.5'!K10</f>
        <v>3.75</v>
      </c>
      <c r="L31" s="81">
        <f>'LA-Ref 0.5'!L10</f>
        <v>430.91660000000002</v>
      </c>
      <c r="M31" s="5">
        <f t="shared" si="6"/>
        <v>61.838142013084216</v>
      </c>
      <c r="N31" s="6">
        <f>100*J31*K31*(L31*0.00000001^3)^2*M31/INDEX('Reference-aQuartz'!$H$4:$H$17,MATCH($B$22,'Reference-aQuartz'!$A$4:$A$17,0))</f>
        <v>0.13592496382038502</v>
      </c>
      <c r="O31" s="31">
        <f t="shared" si="7"/>
        <v>0.25721185461395935</v>
      </c>
      <c r="P31" s="32">
        <f t="shared" si="3"/>
        <v>0.16718770549907358</v>
      </c>
      <c r="Q31" s="69"/>
      <c r="R31" s="89" t="s">
        <v>81</v>
      </c>
      <c r="S31" s="69">
        <f>'LA-Ref 0.5'!P10*0.65</f>
        <v>6.9948801462326609</v>
      </c>
      <c r="T31" s="69">
        <f>P31</f>
        <v>0.16718770549907358</v>
      </c>
      <c r="U31" s="34">
        <f t="shared" si="8"/>
        <v>0.97609856037503107</v>
      </c>
    </row>
    <row r="32" spans="1:48" x14ac:dyDescent="0.25">
      <c r="A32" s="1" t="s">
        <v>56</v>
      </c>
      <c r="B32" s="12">
        <f>0.65*'LA-Ref 0.5'!B11+0.35*B11</f>
        <v>0.26800000000000002</v>
      </c>
      <c r="C32" s="18">
        <f t="shared" si="4"/>
        <v>0.26766683286251192</v>
      </c>
      <c r="D32" s="18">
        <f>INDEX(MAC!$H$3:$H$16,MATCH($A32,MAC!$A$3:$A$16,0))</f>
        <v>122.32505440840811</v>
      </c>
      <c r="E32" s="18">
        <f t="shared" si="5"/>
        <v>0.32742359893233053</v>
      </c>
      <c r="F32" s="21"/>
      <c r="G32" s="55"/>
      <c r="H32" s="64" t="s">
        <v>40</v>
      </c>
      <c r="I32" s="64">
        <v>202220</v>
      </c>
      <c r="J32" s="25">
        <v>1.7899470000000001E-2</v>
      </c>
      <c r="K32" s="25">
        <v>2.2400000000000002</v>
      </c>
      <c r="L32" s="25">
        <v>54.893839999999997</v>
      </c>
      <c r="M32" s="5">
        <f t="shared" si="6"/>
        <v>61.838142013084216</v>
      </c>
      <c r="N32" s="6">
        <f>100*J32*K32*(L32*0.00000001^3)^2*M32/INDEX('Reference-aQuartz'!$H$4:$H$17,MATCH($B$22,'Reference-aQuartz'!$A$4:$A$17,0))</f>
        <v>8.6705774042907784</v>
      </c>
      <c r="O32" s="31">
        <f t="shared" si="7"/>
        <v>16.407400318888705</v>
      </c>
      <c r="P32" s="32">
        <f t="shared" si="3"/>
        <v>10.664810207277657</v>
      </c>
      <c r="Q32" s="69">
        <v>13.2</v>
      </c>
      <c r="R32" s="89" t="s">
        <v>84</v>
      </c>
      <c r="S32" s="69">
        <f>SUM(S27:S31)</f>
        <v>58.346908787948472</v>
      </c>
      <c r="T32" s="69">
        <f>SUM(T27:T31)</f>
        <v>2.3484393305136426</v>
      </c>
    </row>
    <row r="33" spans="1:22" x14ac:dyDescent="0.25">
      <c r="A33" s="1" t="s">
        <v>57</v>
      </c>
      <c r="B33" s="12">
        <f>0.65*'LA-Ref 0.5'!B12+0.35*B12</f>
        <v>2.0690000000000004</v>
      </c>
      <c r="C33" s="18">
        <f t="shared" si="4"/>
        <v>2.0664278999721537</v>
      </c>
      <c r="D33" s="18">
        <f>INDEX(MAC!$H$3:$H$16,MATCH($A33,MAC!$A$3:$A$16,0))</f>
        <v>44.261072668681777</v>
      </c>
      <c r="E33" s="18">
        <f t="shared" si="5"/>
        <v>0.91462315445258979</v>
      </c>
      <c r="F33" s="21"/>
      <c r="G33" s="55"/>
      <c r="H33" s="64" t="s">
        <v>25</v>
      </c>
      <c r="I33" s="64">
        <v>73446</v>
      </c>
      <c r="J33" s="25">
        <v>8.3779000000000004E-4</v>
      </c>
      <c r="K33" s="25">
        <v>2.71</v>
      </c>
      <c r="L33" s="25">
        <v>367.22930000000002</v>
      </c>
      <c r="M33" s="5">
        <f t="shared" si="6"/>
        <v>61.838142013084216</v>
      </c>
      <c r="N33" s="6">
        <f>100*J33*K33*(L33*0.00000001^3)^2*M33/INDEX('Reference-aQuartz'!$H$4:$H$17,MATCH($B$22,'Reference-aQuartz'!$A$4:$A$17,0))</f>
        <v>21.973119519507524</v>
      </c>
      <c r="O33" s="31">
        <f t="shared" si="7"/>
        <v>41.579903090760389</v>
      </c>
      <c r="P33" s="32">
        <f t="shared" si="3"/>
        <v>27.026937008994253</v>
      </c>
      <c r="Q33" s="69">
        <v>30.9</v>
      </c>
    </row>
    <row r="34" spans="1:22" x14ac:dyDescent="0.25">
      <c r="A34" s="1" t="s">
        <v>14</v>
      </c>
      <c r="B34" s="12">
        <f>0.65*'LA-Ref 0.5'!B13+0.35*B13</f>
        <v>0.14050000000000001</v>
      </c>
      <c r="C34" s="18">
        <f t="shared" si="4"/>
        <v>0.14032533588501092</v>
      </c>
      <c r="D34" s="18">
        <f>INDEX(MAC!$H$3:$H$16,MATCH($A34,MAC!$A$3:$A$16,0))</f>
        <v>97.328178229861322</v>
      </c>
      <c r="E34" s="18">
        <f t="shared" si="5"/>
        <v>0.13657609301181498</v>
      </c>
      <c r="F34" s="21"/>
      <c r="G34" s="55"/>
      <c r="H34" s="64" t="s">
        <v>21</v>
      </c>
      <c r="I34" s="64">
        <v>174</v>
      </c>
      <c r="J34" s="65">
        <v>9.8710000000000003E-10</v>
      </c>
      <c r="K34" s="25">
        <v>2.65</v>
      </c>
      <c r="L34" s="25">
        <v>113.22199999999999</v>
      </c>
      <c r="M34" s="5">
        <f t="shared" si="6"/>
        <v>61.838142013084216</v>
      </c>
      <c r="N34" s="6">
        <f>100*J34*K34*(L34*0.00000001^3)^2*M34/INDEX('Reference-aQuartz'!$H$4:$H$17,MATCH($B$22,'Reference-aQuartz'!$A$4:$A$17,0))</f>
        <v>2.406474562949911E-6</v>
      </c>
      <c r="O34" s="31">
        <f t="shared" si="7"/>
        <v>4.5537903268129079E-6</v>
      </c>
      <c r="P34" s="32">
        <f t="shared" si="3"/>
        <v>2.9599637124283904E-6</v>
      </c>
      <c r="Q34" s="69"/>
    </row>
    <row r="35" spans="1:22" x14ac:dyDescent="0.25">
      <c r="A35" s="1" t="s">
        <v>58</v>
      </c>
      <c r="B35" s="12">
        <f>0.65*'LA-Ref 0.5'!B14+0.35*B14</f>
        <v>0.22500000000000003</v>
      </c>
      <c r="C35" s="18">
        <f t="shared" si="4"/>
        <v>0.22472028878382533</v>
      </c>
      <c r="D35" s="18">
        <f>INDEX(MAC!$H$3:$H$16,MATCH($A35,MAC!$A$3:$A$16,0))</f>
        <v>19.10926020222594</v>
      </c>
      <c r="E35" s="18">
        <f t="shared" si="5"/>
        <v>4.2942384710894732E-2</v>
      </c>
      <c r="F35" s="21"/>
      <c r="G35" s="55"/>
      <c r="H35" s="64" t="s">
        <v>87</v>
      </c>
      <c r="I35" s="64">
        <v>155395</v>
      </c>
      <c r="J35" s="65">
        <v>4.8600000000000001E-6</v>
      </c>
      <c r="K35" s="25">
        <v>1.79</v>
      </c>
      <c r="L35" s="25">
        <v>2331.1680000000001</v>
      </c>
      <c r="M35" s="5">
        <f t="shared" si="6"/>
        <v>61.838142013084216</v>
      </c>
      <c r="N35" s="6">
        <f>100*J35*K35*(L35*0.00000001^3)^2*M35/INDEX('Reference-aQuartz'!$H$4:$H$17,MATCH($B$22,'Reference-aQuartz'!$A$4:$A$17,0))</f>
        <v>3.392728064567947</v>
      </c>
      <c r="O35" s="31">
        <f t="shared" si="7"/>
        <v>6.4200854144901145</v>
      </c>
      <c r="P35" s="32">
        <f t="shared" si="3"/>
        <v>4.1730555194185746</v>
      </c>
      <c r="Q35" s="69"/>
    </row>
    <row r="36" spans="1:22" x14ac:dyDescent="0.25">
      <c r="A36" s="1" t="s">
        <v>59</v>
      </c>
      <c r="B36" s="12">
        <f>0.65*'LA-Ref 0.5'!B15+0.35*B15</f>
        <v>0.13400000000000001</v>
      </c>
      <c r="C36" s="18">
        <f t="shared" si="4"/>
        <v>0.13383341643125596</v>
      </c>
      <c r="D36" s="18">
        <f>INDEX(MAC!$H$3:$H$16,MATCH($A36,MAC!$A$3:$A$16,0))</f>
        <v>124.47726788956365</v>
      </c>
      <c r="E36" s="18">
        <f t="shared" si="5"/>
        <v>0.16659218029688977</v>
      </c>
      <c r="F36" s="21"/>
      <c r="G36" s="55"/>
      <c r="H36" s="64" t="s">
        <v>88</v>
      </c>
      <c r="I36" s="64">
        <v>81963</v>
      </c>
      <c r="J36" s="25">
        <v>0</v>
      </c>
      <c r="K36" s="25">
        <v>2.13</v>
      </c>
      <c r="L36" s="25">
        <v>182.59889999999999</v>
      </c>
      <c r="M36" s="5">
        <f t="shared" si="6"/>
        <v>61.838142013084216</v>
      </c>
      <c r="N36" s="6">
        <f>100*J36*K36*(L36*0.00000001^3)^2*M36/INDEX('Reference-aQuartz'!$H$4:$H$17,MATCH($B$22,'Reference-aQuartz'!$A$4:$A$17,0))</f>
        <v>0</v>
      </c>
      <c r="O36" s="31">
        <f t="shared" si="7"/>
        <v>0</v>
      </c>
      <c r="P36" s="32">
        <f t="shared" si="3"/>
        <v>0</v>
      </c>
      <c r="Q36" s="69"/>
    </row>
    <row r="37" spans="1:22" x14ac:dyDescent="0.25">
      <c r="A37" s="1" t="s">
        <v>60</v>
      </c>
      <c r="B37" s="12">
        <f>0.65*'LA-Ref 0.5'!B16+0.35*B16</f>
        <v>0.20750000000000002</v>
      </c>
      <c r="C37" s="18">
        <f t="shared" si="4"/>
        <v>0.2072420441006389</v>
      </c>
      <c r="D37" s="18">
        <f>INDEX(MAC!$H$3:$H$16,MATCH($A37,MAC!$A$3:$A$16,0))</f>
        <v>39.431437267071992</v>
      </c>
      <c r="E37" s="18">
        <f t="shared" si="5"/>
        <v>8.1718516610541095E-2</v>
      </c>
      <c r="F37" s="21"/>
      <c r="G37" s="55"/>
      <c r="H37" s="64" t="s">
        <v>89</v>
      </c>
      <c r="I37" s="64">
        <v>59327</v>
      </c>
      <c r="J37" s="65">
        <v>6.4330000000000002E-5</v>
      </c>
      <c r="K37" s="64">
        <v>2.17</v>
      </c>
      <c r="L37" s="64">
        <v>435.80329999999998</v>
      </c>
      <c r="M37" s="5">
        <f t="shared" si="6"/>
        <v>61.838142013084216</v>
      </c>
      <c r="N37" s="6">
        <f>100*J37*K37*(L37*0.00000001^3)^2*M37/INDEX('Reference-aQuartz'!$H$4:$H$17,MATCH($B$22,'Reference-aQuartz'!$A$4:$A$17,0))</f>
        <v>1.9026851099546345</v>
      </c>
      <c r="O37" s="31">
        <f t="shared" si="7"/>
        <v>3.6004656696064621</v>
      </c>
      <c r="P37" s="32">
        <f t="shared" si="3"/>
        <v>2.3403026852442004</v>
      </c>
      <c r="Q37" s="69"/>
    </row>
    <row r="38" spans="1:22" x14ac:dyDescent="0.25">
      <c r="A38" s="19" t="s">
        <v>23</v>
      </c>
      <c r="B38" s="12">
        <f>0.65*'LA-Ref 0.5'!B17+0.35*B17</f>
        <v>2.8350000000000004E-2</v>
      </c>
      <c r="C38" s="18">
        <f t="shared" si="4"/>
        <v>2.831475638676199E-2</v>
      </c>
      <c r="D38" s="18">
        <f>INDEX(MAC!$H$3:$H$16,MATCH($A38,MAC!$A$3:$A$16,0))</f>
        <v>197.69998688868492</v>
      </c>
      <c r="E38" s="18">
        <f t="shared" si="5"/>
        <v>5.5978269664191532E-2</v>
      </c>
      <c r="F38" s="21"/>
      <c r="G38" s="55"/>
      <c r="H38" s="64" t="s">
        <v>90</v>
      </c>
      <c r="I38" s="64">
        <v>2105252</v>
      </c>
      <c r="J38" s="65">
        <v>1.7600000000000001E-6</v>
      </c>
      <c r="K38" s="64">
        <v>1.81</v>
      </c>
      <c r="L38" s="64">
        <v>1418.434</v>
      </c>
      <c r="M38" s="5">
        <f t="shared" si="6"/>
        <v>61.838142013084216</v>
      </c>
      <c r="N38" s="6">
        <f>100*J38*K38*(L38*0.00000001^3)^2*M38/INDEX('Reference-aQuartz'!$H$4:$H$17,MATCH($B$22,'Reference-aQuartz'!$A$4:$A$17,0))</f>
        <v>0.45996216927074218</v>
      </c>
      <c r="O38" s="31">
        <f t="shared" si="7"/>
        <v>0.87038995108155826</v>
      </c>
      <c r="P38" s="32">
        <f t="shared" si="3"/>
        <v>0.56575346820301287</v>
      </c>
      <c r="Q38" s="69"/>
    </row>
    <row r="39" spans="1:22" x14ac:dyDescent="0.25">
      <c r="A39" s="1" t="s">
        <v>66</v>
      </c>
      <c r="B39" s="12">
        <f>0.65*'LA-Ref 0.5'!B18+0.35*B18</f>
        <v>16.968499999999999</v>
      </c>
      <c r="C39" s="18">
        <f>B39</f>
        <v>16.968499999999999</v>
      </c>
      <c r="D39" s="18">
        <f>INDEX(MAC!$H$3:$H$16,MATCH($A39,MAC!$A$3:$A$16,0))</f>
        <v>9.592279079279237</v>
      </c>
      <c r="E39" s="18">
        <f t="shared" si="5"/>
        <v>1.6276658755674973</v>
      </c>
      <c r="F39" s="21"/>
      <c r="G39" s="55"/>
      <c r="H39" s="21"/>
      <c r="I39" s="21"/>
      <c r="J39" s="21"/>
      <c r="K39" s="21"/>
      <c r="L39" s="21"/>
      <c r="M39" s="5">
        <f t="shared" si="6"/>
        <v>61.838142013084216</v>
      </c>
      <c r="N39" s="6">
        <f>100*J39*K39*(L39*0.00000001^3)^2*M39/INDEX('Reference-aQuartz'!$H$4:$H$17,MATCH($B$22,'Reference-aQuartz'!$A$4:$A$17,0))</f>
        <v>0</v>
      </c>
      <c r="O39" s="31">
        <f t="shared" si="7"/>
        <v>0</v>
      </c>
      <c r="P39" s="32">
        <f t="shared" si="3"/>
        <v>0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107" t="s">
        <v>7</v>
      </c>
      <c r="I40" s="108"/>
      <c r="J40" s="108"/>
      <c r="K40" s="108"/>
      <c r="L40" s="108"/>
      <c r="M40" s="109"/>
      <c r="N40" s="6">
        <f>SUM(N27:N39)</f>
        <v>38.308374942776467</v>
      </c>
      <c r="O40" s="31">
        <f>SUM(O27:O39)</f>
        <v>72.491232584023166</v>
      </c>
      <c r="P40" s="31">
        <f>SUM(P27:P39)</f>
        <v>47.11930117961505</v>
      </c>
    </row>
    <row r="41" spans="1:22" x14ac:dyDescent="0.25">
      <c r="A41" s="25" t="s">
        <v>7</v>
      </c>
      <c r="B41" s="40">
        <f>SUM(B27:B38)</f>
        <v>83.13485</v>
      </c>
      <c r="C41" s="40">
        <f>SUM(C27:C39)</f>
        <v>100</v>
      </c>
      <c r="D41" s="25" t="s">
        <v>29</v>
      </c>
      <c r="E41" s="56">
        <f>SUM(E27:E39)</f>
        <v>89.612695724990886</v>
      </c>
      <c r="F41" s="57">
        <f>E41*(1-C23)+D40*C23</f>
        <v>61.838142013084216</v>
      </c>
      <c r="H41" s="107" t="s">
        <v>28</v>
      </c>
      <c r="I41" s="108"/>
      <c r="J41" s="108"/>
      <c r="K41" s="108"/>
      <c r="L41" s="108"/>
      <c r="M41" s="109"/>
      <c r="N41" s="6">
        <f>100-N40</f>
        <v>61.691625057223533</v>
      </c>
      <c r="O41" s="31">
        <f>100-O40</f>
        <v>27.508767415976834</v>
      </c>
      <c r="P41" s="31">
        <f>100-P40</f>
        <v>52.88069882038495</v>
      </c>
    </row>
    <row r="44" spans="1:22" x14ac:dyDescent="0.25">
      <c r="A44" s="58" t="s">
        <v>32</v>
      </c>
      <c r="B44" s="59">
        <v>44846</v>
      </c>
      <c r="C44" s="47" t="s">
        <v>85</v>
      </c>
      <c r="D44" s="48"/>
      <c r="E44" s="48" t="s">
        <v>77</v>
      </c>
      <c r="F44" s="49"/>
    </row>
    <row r="45" spans="1:22" x14ac:dyDescent="0.25">
      <c r="A45" s="60" t="s">
        <v>78</v>
      </c>
      <c r="B45" s="63"/>
      <c r="C45" s="51">
        <v>0.4</v>
      </c>
      <c r="D45" s="52"/>
      <c r="E45" s="52">
        <v>0.26</v>
      </c>
      <c r="F45" s="53"/>
    </row>
    <row r="46" spans="1:22" x14ac:dyDescent="0.25">
      <c r="H46" s="62" t="s">
        <v>6</v>
      </c>
      <c r="I46" s="86">
        <v>3.97</v>
      </c>
      <c r="J46" s="33"/>
    </row>
    <row r="47" spans="1:22" x14ac:dyDescent="0.25">
      <c r="A47" s="25" t="s">
        <v>8</v>
      </c>
      <c r="B47" s="25" t="s">
        <v>30</v>
      </c>
      <c r="C47" s="25" t="s">
        <v>31</v>
      </c>
      <c r="D47" s="25" t="s">
        <v>68</v>
      </c>
      <c r="E47" s="25" t="s">
        <v>69</v>
      </c>
      <c r="F47" s="25" t="s">
        <v>74</v>
      </c>
      <c r="G47" s="54"/>
      <c r="H47" s="25" t="s">
        <v>9</v>
      </c>
      <c r="I47" s="25" t="s">
        <v>86</v>
      </c>
      <c r="J47" s="25" t="s">
        <v>2</v>
      </c>
      <c r="K47" s="25" t="s">
        <v>3</v>
      </c>
      <c r="L47" s="25" t="s">
        <v>4</v>
      </c>
      <c r="M47" s="25" t="s">
        <v>5</v>
      </c>
      <c r="N47" s="5" t="s">
        <v>15</v>
      </c>
      <c r="O47" s="5" t="s">
        <v>15</v>
      </c>
      <c r="P47" s="5" t="s">
        <v>15</v>
      </c>
      <c r="Q47" s="88" t="s">
        <v>96</v>
      </c>
      <c r="R47" s="89"/>
      <c r="S47" s="96" t="s">
        <v>122</v>
      </c>
      <c r="T47" s="96" t="s">
        <v>123</v>
      </c>
      <c r="U47" s="88" t="s">
        <v>82</v>
      </c>
      <c r="V47" s="36" t="s">
        <v>83</v>
      </c>
    </row>
    <row r="48" spans="1:22" x14ac:dyDescent="0.25">
      <c r="A48" s="25" t="s">
        <v>11</v>
      </c>
      <c r="B48" s="25" t="s">
        <v>93</v>
      </c>
      <c r="C48" s="25" t="s">
        <v>93</v>
      </c>
      <c r="D48" s="25" t="s">
        <v>13</v>
      </c>
      <c r="E48" s="25" t="s">
        <v>13</v>
      </c>
      <c r="F48" s="25" t="s">
        <v>13</v>
      </c>
      <c r="G48" s="54"/>
      <c r="H48" s="25" t="s">
        <v>11</v>
      </c>
      <c r="I48" s="25" t="s">
        <v>11</v>
      </c>
      <c r="J48" s="25" t="s">
        <v>11</v>
      </c>
      <c r="K48" s="25" t="s">
        <v>16</v>
      </c>
      <c r="L48" s="25" t="s">
        <v>19</v>
      </c>
      <c r="M48" s="25" t="s">
        <v>13</v>
      </c>
      <c r="N48" s="5" t="s">
        <v>75</v>
      </c>
      <c r="O48" s="88" t="s">
        <v>113</v>
      </c>
      <c r="P48" s="68" t="s">
        <v>76</v>
      </c>
      <c r="Q48" s="88" t="s">
        <v>76</v>
      </c>
      <c r="R48" s="89"/>
      <c r="S48" s="88" t="s">
        <v>76</v>
      </c>
      <c r="T48" s="88" t="s">
        <v>76</v>
      </c>
      <c r="U48" s="88" t="s">
        <v>11</v>
      </c>
      <c r="V48" s="36" t="s">
        <v>11</v>
      </c>
    </row>
    <row r="49" spans="1:22" x14ac:dyDescent="0.25">
      <c r="A49" s="1" t="s">
        <v>53</v>
      </c>
      <c r="B49" s="12">
        <f>0.65*'LA-Ref 0.5'!B6+0.35*B6</f>
        <v>13.18</v>
      </c>
      <c r="C49" s="18">
        <f>B49*(100-B$39)/B$41</f>
        <v>13.163615138536965</v>
      </c>
      <c r="D49" s="18">
        <f>INDEX(MAC!$H$3:$H$16,MATCH($A49,MAC!$A$3:$A$16,0))</f>
        <v>35.900659077291785</v>
      </c>
      <c r="E49" s="18">
        <f>C49*D49/100</f>
        <v>4.7258245931329261</v>
      </c>
      <c r="F49" s="21"/>
      <c r="G49" s="55"/>
      <c r="H49" s="64" t="s">
        <v>34</v>
      </c>
      <c r="I49" s="64"/>
      <c r="J49" s="25">
        <v>0</v>
      </c>
      <c r="K49" s="70">
        <f>'LA-Ref 0.5'!K6</f>
        <v>3.15</v>
      </c>
      <c r="L49" s="81">
        <f>'LA-Ref 0.5'!L6</f>
        <v>2166.0790000000002</v>
      </c>
      <c r="M49" s="5">
        <f>$F$63</f>
        <v>57.870348625668967</v>
      </c>
      <c r="N49" s="6">
        <f>100*J49*K49*(L49*0.00000001^3)^2*M49/INDEX('Reference-aQuartz'!$H$4:$H$17,MATCH($B$44,'Reference-aQuartz'!$A$4:$A$17,0))</f>
        <v>0</v>
      </c>
      <c r="O49" s="31">
        <f>P49*100/65</f>
        <v>0</v>
      </c>
      <c r="P49" s="32">
        <f t="shared" ref="P49:P61" si="9">N49*(1+$E$45)</f>
        <v>0</v>
      </c>
      <c r="Q49" s="69"/>
      <c r="R49" s="110" t="s">
        <v>79</v>
      </c>
      <c r="S49" s="100">
        <f>('LA-Ref 0.5'!P6+'LA-Ref 0.5'!P7)*0.65</f>
        <v>42.364846282241693</v>
      </c>
      <c r="T49" s="100">
        <f>P49+P50</f>
        <v>0</v>
      </c>
      <c r="U49" s="102">
        <f>(S49-T49)/S49</f>
        <v>1</v>
      </c>
      <c r="V49" s="30">
        <f>(U49*S49+U51*S51+U52*S52+U53*S53)/S54</f>
        <v>0.98503525576681383</v>
      </c>
    </row>
    <row r="50" spans="1:22" x14ac:dyDescent="0.25">
      <c r="A50" s="1" t="s">
        <v>54</v>
      </c>
      <c r="B50" s="12">
        <f>0.65*'LA-Ref 0.5'!B7+0.35*B7</f>
        <v>3.5200000000000005</v>
      </c>
      <c r="C50" s="18">
        <f t="shared" ref="C50:C60" si="10">B50*(100-B$39)/B$41</f>
        <v>3.5156240734180675</v>
      </c>
      <c r="D50" s="18">
        <f>INDEX(MAC!$H$3:$H$16,MATCH($A50,MAC!$A$3:$A$16,0))</f>
        <v>31.664851266660783</v>
      </c>
      <c r="E50" s="18">
        <f t="shared" ref="E50:E61" si="11">C50*D50/100</f>
        <v>1.1132171339427523</v>
      </c>
      <c r="F50" s="21"/>
      <c r="G50" s="55"/>
      <c r="H50" s="64" t="s">
        <v>35</v>
      </c>
      <c r="I50" s="64">
        <v>94742</v>
      </c>
      <c r="J50" s="25">
        <v>0</v>
      </c>
      <c r="K50" s="81">
        <f>'LA-Ref 0.5'!K7</f>
        <v>3.16</v>
      </c>
      <c r="L50" s="81">
        <f>'LA-Ref 0.5'!L7</f>
        <v>4316.1279999999997</v>
      </c>
      <c r="M50" s="5">
        <f t="shared" ref="M50:M61" si="12">$F$63</f>
        <v>57.870348625668967</v>
      </c>
      <c r="N50" s="6">
        <f>100*J50*K50*(L50*0.00000001^3)^2*M50/INDEX('Reference-aQuartz'!$H$4:$H$17,MATCH($B$44,'Reference-aQuartz'!$A$4:$A$17,0))</f>
        <v>0</v>
      </c>
      <c r="O50" s="31">
        <f t="shared" ref="O50:O61" si="13">P50*100/65</f>
        <v>0</v>
      </c>
      <c r="P50" s="32">
        <f t="shared" si="9"/>
        <v>0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0.5'!B8+0.35*B8</f>
        <v>2.4274999999999998</v>
      </c>
      <c r="C51" s="18">
        <f t="shared" si="10"/>
        <v>2.4244822267677151</v>
      </c>
      <c r="D51" s="18">
        <f>INDEX(MAC!$H$3:$H$16,MATCH($A51,MAC!$A$3:$A$16,0))</f>
        <v>214.68463619455559</v>
      </c>
      <c r="E51" s="18">
        <f t="shared" si="11"/>
        <v>5.2049908481379292</v>
      </c>
      <c r="F51" s="21"/>
      <c r="G51" s="55"/>
      <c r="H51" s="64" t="s">
        <v>36</v>
      </c>
      <c r="I51" s="64">
        <v>81096</v>
      </c>
      <c r="J51" s="65">
        <v>1.9870000000000001E-5</v>
      </c>
      <c r="K51" s="81">
        <f>'LA-Ref 0.5'!K8</f>
        <v>3.29</v>
      </c>
      <c r="L51" s="81">
        <f>'LA-Ref 0.5'!L8</f>
        <v>347.22930000000002</v>
      </c>
      <c r="M51" s="5">
        <f t="shared" si="12"/>
        <v>57.870348625668967</v>
      </c>
      <c r="N51" s="6">
        <f>100*J51*K51*(L51*0.00000001^3)^2*M51/INDEX('Reference-aQuartz'!$H$4:$H$17,MATCH($B$44,'Reference-aQuartz'!$A$4:$A$17,0))</f>
        <v>0.56191482992257336</v>
      </c>
      <c r="O51" s="31">
        <f t="shared" si="13"/>
        <v>1.0892502856960653</v>
      </c>
      <c r="P51" s="32">
        <f t="shared" si="9"/>
        <v>0.70801268570244247</v>
      </c>
      <c r="Q51" s="69"/>
      <c r="R51" s="89" t="s">
        <v>80</v>
      </c>
      <c r="S51" s="69">
        <f>'LA-Ref 0.5'!P8*0.65</f>
        <v>6.6266164042793037</v>
      </c>
      <c r="T51" s="69">
        <f>P51</f>
        <v>0.70801268570244247</v>
      </c>
      <c r="U51" s="34">
        <f>(S51-T51)/S51</f>
        <v>0.89315622898509328</v>
      </c>
    </row>
    <row r="52" spans="1:22" x14ac:dyDescent="0.25">
      <c r="A52" s="1" t="s">
        <v>0</v>
      </c>
      <c r="B52" s="12">
        <f>0.65*'LA-Ref 0.5'!B9+0.35*B9</f>
        <v>0.755</v>
      </c>
      <c r="C52" s="18">
        <f t="shared" si="10"/>
        <v>0.75406141347461375</v>
      </c>
      <c r="D52" s="18">
        <f>INDEX(MAC!$H$3:$H$16,MATCH($A52,MAC!$A$3:$A$16,0))</f>
        <v>28.686693628423974</v>
      </c>
      <c r="E52" s="18">
        <f t="shared" si="11"/>
        <v>0.2163152874536258</v>
      </c>
      <c r="F52" s="21"/>
      <c r="G52" s="55"/>
      <c r="H52" s="64" t="s">
        <v>37</v>
      </c>
      <c r="I52" s="64">
        <v>1841</v>
      </c>
      <c r="J52" s="25">
        <v>0</v>
      </c>
      <c r="K52" s="81">
        <f>'LA-Ref 0.5'!K9</f>
        <v>3.04</v>
      </c>
      <c r="L52" s="81">
        <f>'LA-Ref 0.5'!L9</f>
        <v>3541.5859999999998</v>
      </c>
      <c r="M52" s="5">
        <f t="shared" si="12"/>
        <v>57.870348625668967</v>
      </c>
      <c r="N52" s="6">
        <f>100*J52*K52*(L52*0.00000001^3)^2*M52/INDEX('Reference-aQuartz'!$H$4:$H$17,MATCH($B$44,'Reference-aQuartz'!$A$4:$A$17,0))</f>
        <v>0</v>
      </c>
      <c r="O52" s="31">
        <f t="shared" si="13"/>
        <v>0</v>
      </c>
      <c r="P52" s="32">
        <f t="shared" si="9"/>
        <v>0</v>
      </c>
      <c r="Q52" s="69"/>
      <c r="R52" s="89" t="s">
        <v>37</v>
      </c>
      <c r="S52" s="69">
        <f>'LA-Ref 0.5'!P9*0.65</f>
        <v>2.3605659551948133</v>
      </c>
      <c r="T52" s="69">
        <f>P52</f>
        <v>0</v>
      </c>
      <c r="U52" s="34">
        <f t="shared" ref="U52:U53" si="14">(S52-T52)/S52</f>
        <v>1</v>
      </c>
    </row>
    <row r="53" spans="1:22" x14ac:dyDescent="0.25">
      <c r="A53" s="1" t="s">
        <v>1</v>
      </c>
      <c r="B53" s="12">
        <f>0.65*'LA-Ref 0.5'!B10+0.35*B10</f>
        <v>60.18</v>
      </c>
      <c r="C53" s="18">
        <f t="shared" si="10"/>
        <v>60.105186573380472</v>
      </c>
      <c r="D53" s="18">
        <f>INDEX(MAC!$H$3:$H$16,MATCH($A53,MAC!$A$3:$A$16,0))</f>
        <v>124.77929454143408</v>
      </c>
      <c r="E53" s="18">
        <f t="shared" si="11"/>
        <v>74.998827789076913</v>
      </c>
      <c r="F53" s="21"/>
      <c r="G53" s="55"/>
      <c r="H53" s="64" t="s">
        <v>38</v>
      </c>
      <c r="I53" s="64">
        <v>98836</v>
      </c>
      <c r="J53" s="65">
        <v>2.6400000000000001E-6</v>
      </c>
      <c r="K53" s="81">
        <f>'LA-Ref 0.5'!K10</f>
        <v>3.75</v>
      </c>
      <c r="L53" s="81">
        <f>'LA-Ref 0.5'!L10</f>
        <v>430.91660000000002</v>
      </c>
      <c r="M53" s="5">
        <f t="shared" si="12"/>
        <v>57.870348625668967</v>
      </c>
      <c r="N53" s="6">
        <f>100*J53*K53*(L53*0.00000001^3)^2*M53/INDEX('Reference-aQuartz'!$H$4:$H$17,MATCH($B$44,'Reference-aQuartz'!$A$4:$A$17,0))</f>
        <v>0.13105863579861457</v>
      </c>
      <c r="O53" s="31">
        <f t="shared" si="13"/>
        <v>0.25405212477885286</v>
      </c>
      <c r="P53" s="32">
        <f t="shared" si="9"/>
        <v>0.16513388110625435</v>
      </c>
      <c r="Q53" s="69"/>
      <c r="R53" s="89" t="s">
        <v>81</v>
      </c>
      <c r="S53" s="69">
        <f>'LA-Ref 0.5'!P10*0.65</f>
        <v>6.9948801462326609</v>
      </c>
      <c r="T53" s="69">
        <f>P53</f>
        <v>0.16513388110625435</v>
      </c>
      <c r="U53" s="34">
        <f t="shared" si="14"/>
        <v>0.97639217861435501</v>
      </c>
    </row>
    <row r="54" spans="1:22" x14ac:dyDescent="0.25">
      <c r="A54" s="1" t="s">
        <v>56</v>
      </c>
      <c r="B54" s="12">
        <f>0.65*'LA-Ref 0.5'!B11+0.35*B11</f>
        <v>0.26800000000000002</v>
      </c>
      <c r="C54" s="18">
        <f t="shared" si="10"/>
        <v>0.26766683286251192</v>
      </c>
      <c r="D54" s="18">
        <f>INDEX(MAC!$H$3:$H$16,MATCH($A54,MAC!$A$3:$A$16,0))</f>
        <v>122.32505440840811</v>
      </c>
      <c r="E54" s="18">
        <f t="shared" si="11"/>
        <v>0.32742359893233053</v>
      </c>
      <c r="F54" s="21"/>
      <c r="G54" s="55"/>
      <c r="H54" s="64" t="s">
        <v>40</v>
      </c>
      <c r="I54" s="64">
        <v>202220</v>
      </c>
      <c r="J54" s="25">
        <v>1.651538E-2</v>
      </c>
      <c r="K54" s="70">
        <v>2.2400000000000002</v>
      </c>
      <c r="L54" s="70">
        <v>54.891849999999998</v>
      </c>
      <c r="M54" s="5">
        <f t="shared" si="12"/>
        <v>57.870348625668967</v>
      </c>
      <c r="N54" s="6">
        <f>100*J54*K54*(L54*0.00000001^3)^2*M54/INDEX('Reference-aQuartz'!$H$4:$H$17,MATCH($B$44,'Reference-aQuartz'!$A$4:$A$17,0))</f>
        <v>7.9468739459793758</v>
      </c>
      <c r="O54" s="31">
        <f t="shared" si="13"/>
        <v>15.404709495283099</v>
      </c>
      <c r="P54" s="32">
        <f t="shared" si="9"/>
        <v>10.013061171934014</v>
      </c>
      <c r="Q54" s="69">
        <v>12.7</v>
      </c>
      <c r="R54" s="89" t="s">
        <v>84</v>
      </c>
      <c r="S54" s="69">
        <f>SUM(S49:S53)</f>
        <v>58.346908787948472</v>
      </c>
      <c r="T54" s="69">
        <f>SUM(T49:T53)</f>
        <v>0.87314656680869684</v>
      </c>
    </row>
    <row r="55" spans="1:22" x14ac:dyDescent="0.25">
      <c r="A55" s="1" t="s">
        <v>57</v>
      </c>
      <c r="B55" s="12">
        <f>0.65*'LA-Ref 0.5'!B12+0.35*B12</f>
        <v>2.0690000000000004</v>
      </c>
      <c r="C55" s="18">
        <f t="shared" si="10"/>
        <v>2.0664278999721537</v>
      </c>
      <c r="D55" s="18">
        <f>INDEX(MAC!$H$3:$H$16,MATCH($A55,MAC!$A$3:$A$16,0))</f>
        <v>44.261072668681777</v>
      </c>
      <c r="E55" s="18">
        <f t="shared" si="11"/>
        <v>0.91462315445258979</v>
      </c>
      <c r="F55" s="21"/>
      <c r="G55" s="55"/>
      <c r="H55" s="64" t="s">
        <v>25</v>
      </c>
      <c r="I55" s="64">
        <v>73446</v>
      </c>
      <c r="J55" s="25">
        <v>7.5715000000000005E-4</v>
      </c>
      <c r="K55" s="70">
        <v>2.72</v>
      </c>
      <c r="L55" s="70">
        <v>367.1438</v>
      </c>
      <c r="M55" s="5">
        <f t="shared" si="12"/>
        <v>57.870348625668967</v>
      </c>
      <c r="N55" s="6">
        <f>100*J55*K55*(L55*0.00000001^3)^2*M55/INDEX('Reference-aQuartz'!$H$4:$H$17,MATCH($B$44,'Reference-aQuartz'!$A$4:$A$17,0))</f>
        <v>19.790976692197177</v>
      </c>
      <c r="O55" s="31">
        <f t="shared" si="13"/>
        <v>38.364047126412984</v>
      </c>
      <c r="P55" s="32">
        <f t="shared" si="9"/>
        <v>24.936630632168441</v>
      </c>
      <c r="Q55" s="69">
        <v>29.5</v>
      </c>
    </row>
    <row r="56" spans="1:22" x14ac:dyDescent="0.25">
      <c r="A56" s="1" t="s">
        <v>14</v>
      </c>
      <c r="B56" s="12">
        <f>0.65*'LA-Ref 0.5'!B13+0.35*B13</f>
        <v>0.14050000000000001</v>
      </c>
      <c r="C56" s="18">
        <f t="shared" si="10"/>
        <v>0.14032533588501092</v>
      </c>
      <c r="D56" s="18">
        <f>INDEX(MAC!$H$3:$H$16,MATCH($A56,MAC!$A$3:$A$16,0))</f>
        <v>97.328178229861322</v>
      </c>
      <c r="E56" s="18">
        <f t="shared" si="11"/>
        <v>0.13657609301181498</v>
      </c>
      <c r="F56" s="21"/>
      <c r="G56" s="55"/>
      <c r="H56" s="64" t="s">
        <v>21</v>
      </c>
      <c r="I56" s="64">
        <v>174</v>
      </c>
      <c r="J56" s="65">
        <v>6.5759999999999994E-5</v>
      </c>
      <c r="K56" s="70">
        <v>2.63</v>
      </c>
      <c r="L56" s="70">
        <v>113.8629</v>
      </c>
      <c r="M56" s="5">
        <f t="shared" si="12"/>
        <v>57.870348625668967</v>
      </c>
      <c r="N56" s="6">
        <f>100*J56*K56*(L56*0.00000001^3)^2*M56/INDEX('Reference-aQuartz'!$H$4:$H$17,MATCH($B$44,'Reference-aQuartz'!$A$4:$A$17,0))</f>
        <v>0.15985492972437951</v>
      </c>
      <c r="O56" s="31">
        <f t="shared" si="13"/>
        <v>0.30987263300418177</v>
      </c>
      <c r="P56" s="32">
        <f t="shared" si="9"/>
        <v>0.20141721145271818</v>
      </c>
      <c r="Q56" s="69"/>
    </row>
    <row r="57" spans="1:22" x14ac:dyDescent="0.25">
      <c r="A57" s="1" t="s">
        <v>58</v>
      </c>
      <c r="B57" s="12">
        <f>0.65*'LA-Ref 0.5'!B14+0.35*B14</f>
        <v>0.22500000000000003</v>
      </c>
      <c r="C57" s="18">
        <f t="shared" si="10"/>
        <v>0.22472028878382533</v>
      </c>
      <c r="D57" s="18">
        <f>INDEX(MAC!$H$3:$H$16,MATCH($A57,MAC!$A$3:$A$16,0))</f>
        <v>19.10926020222594</v>
      </c>
      <c r="E57" s="18">
        <f t="shared" si="11"/>
        <v>4.2942384710894732E-2</v>
      </c>
      <c r="F57" s="21"/>
      <c r="G57" s="55"/>
      <c r="H57" s="64" t="s">
        <v>87</v>
      </c>
      <c r="I57" s="64">
        <v>155395</v>
      </c>
      <c r="J57" s="65">
        <v>5.5500000000000002E-6</v>
      </c>
      <c r="K57" s="70">
        <v>1.79</v>
      </c>
      <c r="L57" s="70">
        <v>2328.25</v>
      </c>
      <c r="M57" s="5">
        <f t="shared" si="12"/>
        <v>57.870348625668967</v>
      </c>
      <c r="N57" s="6">
        <f>100*J57*K57*(L57*0.00000001^3)^2*M57/INDEX('Reference-aQuartz'!$H$4:$H$17,MATCH($B$44,'Reference-aQuartz'!$A$4:$A$17,0))</f>
        <v>3.8392751396575475</v>
      </c>
      <c r="O57" s="31">
        <f t="shared" si="13"/>
        <v>7.4422871937977071</v>
      </c>
      <c r="P57" s="32">
        <f t="shared" si="9"/>
        <v>4.8374866759685098</v>
      </c>
      <c r="Q57" s="69"/>
    </row>
    <row r="58" spans="1:22" x14ac:dyDescent="0.25">
      <c r="A58" s="1" t="s">
        <v>59</v>
      </c>
      <c r="B58" s="12">
        <f>0.65*'LA-Ref 0.5'!B15+0.35*B15</f>
        <v>0.13400000000000001</v>
      </c>
      <c r="C58" s="18">
        <f t="shared" si="10"/>
        <v>0.13383341643125596</v>
      </c>
      <c r="D58" s="18">
        <f>INDEX(MAC!$H$3:$H$16,MATCH($A58,MAC!$A$3:$A$16,0))</f>
        <v>124.47726788956365</v>
      </c>
      <c r="E58" s="18">
        <f t="shared" si="11"/>
        <v>0.16659218029688977</v>
      </c>
      <c r="F58" s="21"/>
      <c r="G58" s="55"/>
      <c r="H58" s="64" t="s">
        <v>88</v>
      </c>
      <c r="I58" s="64">
        <v>81963</v>
      </c>
      <c r="J58" s="25">
        <v>0</v>
      </c>
      <c r="K58" s="70">
        <v>2.14</v>
      </c>
      <c r="L58" s="70">
        <v>181.9555</v>
      </c>
      <c r="M58" s="5">
        <f t="shared" si="12"/>
        <v>57.870348625668967</v>
      </c>
      <c r="N58" s="6">
        <f>100*J58*K58*(L58*0.00000001^3)^2*M58/INDEX('Reference-aQuartz'!$H$4:$H$17,MATCH($B$44,'Reference-aQuartz'!$A$4:$A$17,0))</f>
        <v>0</v>
      </c>
      <c r="O58" s="31">
        <f t="shared" si="13"/>
        <v>0</v>
      </c>
      <c r="P58" s="32">
        <f t="shared" si="9"/>
        <v>0</v>
      </c>
      <c r="Q58" s="69"/>
    </row>
    <row r="59" spans="1:22" x14ac:dyDescent="0.25">
      <c r="A59" s="1" t="s">
        <v>60</v>
      </c>
      <c r="B59" s="12">
        <f>0.65*'LA-Ref 0.5'!B16+0.35*B16</f>
        <v>0.20750000000000002</v>
      </c>
      <c r="C59" s="18">
        <f t="shared" si="10"/>
        <v>0.2072420441006389</v>
      </c>
      <c r="D59" s="18">
        <f>INDEX(MAC!$H$3:$H$16,MATCH($A59,MAC!$A$3:$A$16,0))</f>
        <v>39.431437267071992</v>
      </c>
      <c r="E59" s="18">
        <f t="shared" si="11"/>
        <v>8.1718516610541095E-2</v>
      </c>
      <c r="F59" s="21"/>
      <c r="G59" s="55"/>
      <c r="H59" s="64" t="s">
        <v>89</v>
      </c>
      <c r="I59" s="64">
        <v>59327</v>
      </c>
      <c r="J59" s="65">
        <v>8.4439999999999998E-5</v>
      </c>
      <c r="K59" s="70">
        <v>2.17</v>
      </c>
      <c r="L59" s="70">
        <v>435.39269999999999</v>
      </c>
      <c r="M59" s="5">
        <f t="shared" si="12"/>
        <v>57.870348625668967</v>
      </c>
      <c r="N59" s="6">
        <f>100*J59*K59*(L59*0.00000001^3)^2*M59/INDEX('Reference-aQuartz'!$H$4:$H$17,MATCH($B$44,'Reference-aQuartz'!$A$4:$A$17,0))</f>
        <v>2.4763626449212985</v>
      </c>
      <c r="O59" s="31">
        <f t="shared" si="13"/>
        <v>4.8003337424628247</v>
      </c>
      <c r="P59" s="32">
        <f t="shared" si="9"/>
        <v>3.1202169326008362</v>
      </c>
      <c r="Q59" s="69"/>
    </row>
    <row r="60" spans="1:22" x14ac:dyDescent="0.25">
      <c r="A60" s="19" t="s">
        <v>23</v>
      </c>
      <c r="B60" s="12">
        <f>0.65*'LA-Ref 0.5'!B17+0.35*B17</f>
        <v>2.8350000000000004E-2</v>
      </c>
      <c r="C60" s="18">
        <f t="shared" si="10"/>
        <v>2.831475638676199E-2</v>
      </c>
      <c r="D60" s="18">
        <f>INDEX(MAC!$H$3:$H$16,MATCH($A60,MAC!$A$3:$A$16,0))</f>
        <v>197.69998688868492</v>
      </c>
      <c r="E60" s="18">
        <f t="shared" si="11"/>
        <v>5.5978269664191532E-2</v>
      </c>
      <c r="F60" s="21"/>
      <c r="G60" s="55"/>
      <c r="H60" s="64" t="s">
        <v>90</v>
      </c>
      <c r="I60" s="64">
        <v>2105252</v>
      </c>
      <c r="J60" s="65">
        <v>1.9999999999999999E-7</v>
      </c>
      <c r="K60" s="70">
        <v>1.82</v>
      </c>
      <c r="L60" s="70">
        <v>1403.8879999999999</v>
      </c>
      <c r="M60" s="5">
        <f t="shared" si="12"/>
        <v>57.870348625668967</v>
      </c>
      <c r="N60" s="6">
        <f>100*J60*K60*(L60*0.00000001^3)^2*M60/INDEX('Reference-aQuartz'!$H$4:$H$17,MATCH($B$44,'Reference-aQuartz'!$A$4:$A$17,0))</f>
        <v>5.1145838939759859E-2</v>
      </c>
      <c r="O60" s="31">
        <f t="shared" si="13"/>
        <v>9.9144241637072958E-2</v>
      </c>
      <c r="P60" s="32">
        <f t="shared" si="9"/>
        <v>6.4443757064097426E-2</v>
      </c>
      <c r="Q60" s="69"/>
    </row>
    <row r="61" spans="1:22" x14ac:dyDescent="0.25">
      <c r="A61" s="1" t="s">
        <v>66</v>
      </c>
      <c r="B61" s="12">
        <f>0.65*'LA-Ref 0.5'!B18+0.35*B18</f>
        <v>16.968499999999999</v>
      </c>
      <c r="C61" s="18">
        <f>B61</f>
        <v>16.968499999999999</v>
      </c>
      <c r="D61" s="18">
        <f>INDEX(MAC!$H$3:$H$16,MATCH($A61,MAC!$A$3:$A$16,0))</f>
        <v>9.592279079279237</v>
      </c>
      <c r="E61" s="18">
        <f t="shared" si="11"/>
        <v>1.6276658755674973</v>
      </c>
      <c r="F61" s="21"/>
      <c r="G61" s="55"/>
      <c r="H61" s="21"/>
      <c r="I61" s="21"/>
      <c r="J61" s="21"/>
      <c r="K61" s="21"/>
      <c r="L61" s="21"/>
      <c r="M61" s="5">
        <f t="shared" si="12"/>
        <v>57.870348625668967</v>
      </c>
      <c r="N61" s="6">
        <f>100*J61*K61*(L61*0.00000001^3)^2*M61/INDEX('Reference-aQuartz'!$H$4:$H$17,MATCH($B$44,'Reference-aQuartz'!$A$4:$A$17,0))</f>
        <v>0</v>
      </c>
      <c r="O61" s="31">
        <f t="shared" si="13"/>
        <v>0</v>
      </c>
      <c r="P61" s="32">
        <f t="shared" si="9"/>
        <v>0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107" t="s">
        <v>7</v>
      </c>
      <c r="I62" s="108"/>
      <c r="J62" s="108"/>
      <c r="K62" s="108"/>
      <c r="L62" s="108"/>
      <c r="M62" s="109"/>
      <c r="N62" s="6">
        <f>SUM(N49:N61)</f>
        <v>34.957462657140724</v>
      </c>
      <c r="O62" s="31">
        <f t="shared" ref="O62:P62" si="15">SUM(O49:O61)</f>
        <v>67.763696843072793</v>
      </c>
      <c r="P62" s="31">
        <f t="shared" si="15"/>
        <v>44.046402947997315</v>
      </c>
    </row>
    <row r="63" spans="1:22" x14ac:dyDescent="0.25">
      <c r="A63" s="25" t="s">
        <v>7</v>
      </c>
      <c r="B63" s="40">
        <f>SUM(B49:B60)</f>
        <v>83.13485</v>
      </c>
      <c r="C63" s="40">
        <f>SUM(C49:C61)</f>
        <v>100</v>
      </c>
      <c r="D63" s="25" t="s">
        <v>29</v>
      </c>
      <c r="E63" s="56">
        <f>SUM(E49:E61)</f>
        <v>89.612695724990886</v>
      </c>
      <c r="F63" s="57">
        <f>E63*(1-C45)+D62*C45</f>
        <v>57.870348625668967</v>
      </c>
      <c r="H63" s="107" t="s">
        <v>28</v>
      </c>
      <c r="I63" s="108"/>
      <c r="J63" s="108"/>
      <c r="K63" s="108"/>
      <c r="L63" s="108"/>
      <c r="M63" s="109"/>
      <c r="N63" s="6">
        <f>100-N62</f>
        <v>65.042537342859276</v>
      </c>
      <c r="O63" s="31">
        <f>100-O62</f>
        <v>32.236303156927207</v>
      </c>
      <c r="P63" s="31">
        <f>100-P62</f>
        <v>55.953597052002685</v>
      </c>
    </row>
  </sheetData>
  <mergeCells count="14">
    <mergeCell ref="H19:M19"/>
    <mergeCell ref="H18:M18"/>
    <mergeCell ref="T27:T28"/>
    <mergeCell ref="T49:T50"/>
    <mergeCell ref="H63:M63"/>
    <mergeCell ref="H62:M62"/>
    <mergeCell ref="H40:M40"/>
    <mergeCell ref="H41:M41"/>
    <mergeCell ref="S49:S50"/>
    <mergeCell ref="U49:U50"/>
    <mergeCell ref="R49:R50"/>
    <mergeCell ref="R27:R28"/>
    <mergeCell ref="S27:S28"/>
    <mergeCell ref="U27:U2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0A67A-A519-40A5-96C5-24A90343D771}">
  <sheetPr>
    <tabColor theme="9"/>
  </sheetPr>
  <dimension ref="A1:AV63"/>
  <sheetViews>
    <sheetView zoomScaleNormal="100" workbookViewId="0">
      <selection activeCell="O22" sqref="O22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5.2851562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14.285156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42" t="s">
        <v>32</v>
      </c>
      <c r="B1" s="43">
        <v>44687</v>
      </c>
      <c r="H1" s="38" t="s">
        <v>20</v>
      </c>
      <c r="I1" s="38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>
        <v>2.89</v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25" t="s">
        <v>8</v>
      </c>
      <c r="B4" s="25" t="s">
        <v>30</v>
      </c>
      <c r="C4" s="25" t="s">
        <v>31</v>
      </c>
      <c r="D4" s="25" t="s">
        <v>68</v>
      </c>
      <c r="E4" s="25" t="s">
        <v>69</v>
      </c>
      <c r="H4" s="25" t="s">
        <v>9</v>
      </c>
      <c r="I4" s="25" t="s">
        <v>86</v>
      </c>
      <c r="J4" s="25" t="s">
        <v>2</v>
      </c>
      <c r="K4" s="25" t="s">
        <v>3</v>
      </c>
      <c r="L4" s="25" t="s">
        <v>4</v>
      </c>
      <c r="M4" s="25" t="s">
        <v>5</v>
      </c>
      <c r="N4" s="5" t="s">
        <v>15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25" t="s">
        <v>11</v>
      </c>
      <c r="B5" s="25" t="s">
        <v>93</v>
      </c>
      <c r="C5" s="25" t="s">
        <v>93</v>
      </c>
      <c r="D5" s="25" t="s">
        <v>13</v>
      </c>
      <c r="E5" s="25" t="s">
        <v>13</v>
      </c>
      <c r="H5" s="25" t="s">
        <v>11</v>
      </c>
      <c r="I5" s="25" t="s">
        <v>11</v>
      </c>
      <c r="J5" s="25" t="s">
        <v>11</v>
      </c>
      <c r="K5" s="25" t="s">
        <v>16</v>
      </c>
      <c r="L5" s="25" t="s">
        <v>19</v>
      </c>
      <c r="M5" s="25" t="s">
        <v>13</v>
      </c>
      <c r="N5" s="5" t="s">
        <v>12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56.2</v>
      </c>
      <c r="C6" s="18">
        <f t="shared" ref="C6:C17" si="0">B6*(100-B$18)/B$19</f>
        <v>56.464308352929145</v>
      </c>
      <c r="D6" s="18">
        <f>INDEX(MAC!$H$3:$H$16,MATCH('LA-FA'!$A6,MAC!$A$3:$A$16,0))</f>
        <v>35.900659077291785</v>
      </c>
      <c r="E6" s="18">
        <f>C6*D6/100</f>
        <v>20.271058842135879</v>
      </c>
      <c r="F6" s="39"/>
      <c r="G6" s="39"/>
      <c r="H6" s="25" t="s">
        <v>21</v>
      </c>
      <c r="I6" s="25">
        <v>174</v>
      </c>
      <c r="J6" s="25">
        <v>3.7909599999999999E-3</v>
      </c>
      <c r="K6" s="25">
        <v>2.63</v>
      </c>
      <c r="L6" s="25">
        <v>113.75020000000001</v>
      </c>
      <c r="M6" s="5">
        <f>$E$19</f>
        <v>52.72075926367912</v>
      </c>
      <c r="N6" s="6">
        <f>100*J6*K6*(L6*0.00000001^3)^2*M6/INDEX('Reference-aQuartz'!$H$4:$H$17,MATCH($B$1,'Reference-aQuartz'!$A$4:$A$17,0))</f>
        <v>11.733700172248543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23.8</v>
      </c>
      <c r="C7" s="18">
        <f t="shared" si="0"/>
        <v>23.911931295368568</v>
      </c>
      <c r="D7" s="18">
        <f>INDEX(MAC!$H$3:$H$16,MATCH('LA-FA'!$A7,MAC!$A$3:$A$16,0))</f>
        <v>31.664851266660783</v>
      </c>
      <c r="E7" s="18">
        <f t="shared" ref="E7:E10" si="1">C7*D7/100</f>
        <v>7.5716774796645696</v>
      </c>
      <c r="F7" s="39"/>
      <c r="G7" s="39"/>
      <c r="H7" s="25" t="s">
        <v>41</v>
      </c>
      <c r="I7" s="25">
        <v>158098</v>
      </c>
      <c r="J7" s="25">
        <v>2.0138399999999998E-3</v>
      </c>
      <c r="K7" s="25">
        <v>3.14</v>
      </c>
      <c r="L7" s="25">
        <v>167.93870000000001</v>
      </c>
      <c r="M7" s="5">
        <f>$E$19</f>
        <v>52.72075926367912</v>
      </c>
      <c r="N7" s="6">
        <f>100*J7*K7*(L7*0.00000001^3)^2*M7/INDEX('Reference-aQuartz'!$H$4:$H$17,MATCH($B$1,'Reference-aQuartz'!$A$4:$A$17,0))</f>
        <v>16.221159071265127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6.9</v>
      </c>
      <c r="C8" s="18">
        <f t="shared" si="0"/>
        <v>6.9324506696656769</v>
      </c>
      <c r="D8" s="18">
        <f>INDEX(MAC!$H$3:$H$16,MATCH('LA-FA'!$A8,MAC!$A$3:$A$16,0))</f>
        <v>214.68463619455559</v>
      </c>
      <c r="E8" s="18">
        <f t="shared" si="1"/>
        <v>14.882906499538793</v>
      </c>
      <c r="F8" s="39"/>
      <c r="G8" s="39"/>
      <c r="H8" s="25" t="s">
        <v>42</v>
      </c>
      <c r="I8" s="25">
        <v>201096</v>
      </c>
      <c r="J8" s="25">
        <f>0.00001182</f>
        <v>1.182E-5</v>
      </c>
      <c r="K8" s="25">
        <v>5.27</v>
      </c>
      <c r="L8" s="25">
        <v>302.0299</v>
      </c>
      <c r="M8" s="5">
        <f>$E$19</f>
        <v>52.72075926367912</v>
      </c>
      <c r="N8" s="6">
        <f>100*J8*K8*(L8*0.00000001^3)^2*M8/INDEX('Reference-aQuartz'!$H$4:$H$17,MATCH($B$1,'Reference-aQuartz'!$A$4:$A$17,0))</f>
        <v>0.51683708425162822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1.8</v>
      </c>
      <c r="C9" s="18">
        <f t="shared" si="0"/>
        <v>1.8084653920866984</v>
      </c>
      <c r="D9" s="18">
        <f>INDEX(MAC!$H$3:$H$16,MATCH('LA-FA'!$A9,MAC!$A$3:$A$16,0))</f>
        <v>28.686693628423974</v>
      </c>
      <c r="E9" s="18">
        <f t="shared" si="1"/>
        <v>0.51878892640398755</v>
      </c>
      <c r="F9" s="39"/>
      <c r="G9" s="39"/>
      <c r="H9" s="25" t="s">
        <v>43</v>
      </c>
      <c r="I9" s="25">
        <v>195702</v>
      </c>
      <c r="J9" s="25">
        <f>0.00000309</f>
        <v>3.0900000000000001E-6</v>
      </c>
      <c r="K9" s="25">
        <v>5.26</v>
      </c>
      <c r="L9" s="25">
        <v>585.10979999999995</v>
      </c>
      <c r="M9" s="5">
        <f>$E$19</f>
        <v>52.72075926367912</v>
      </c>
      <c r="N9" s="6">
        <f>100*J9*K9*(L9*0.00000001^3)^2*M9/INDEX('Reference-aQuartz'!$H$4:$H$17,MATCH($B$1,'Reference-aQuartz'!$A$4:$A$17,0))</f>
        <v>0.50610970603676386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3.9</v>
      </c>
      <c r="C10" s="18">
        <f t="shared" si="0"/>
        <v>3.9183416828545132</v>
      </c>
      <c r="D10" s="18">
        <f>INDEX(MAC!$H$3:$H$16,MATCH('LA-FA'!$A10,MAC!$A$3:$A$16,0))</f>
        <v>124.77929454143408</v>
      </c>
      <c r="E10" s="18">
        <f t="shared" si="1"/>
        <v>4.8892791095888182</v>
      </c>
      <c r="F10" s="39"/>
      <c r="G10" s="39"/>
      <c r="H10" s="25"/>
      <c r="I10" s="25"/>
      <c r="J10" s="25"/>
      <c r="K10" s="25"/>
      <c r="L10" s="25"/>
      <c r="M10" s="5"/>
      <c r="N10" s="6">
        <f>100*J10*K10*(L10*0.00000001^3)^2*M10/INDEX('Reference-aQuartz'!$H$4:$H$17,MATCH($B$1,'Reference-aQuartz'!$A$4:$A$17,0))</f>
        <v>0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1.64</v>
      </c>
      <c r="C11" s="18">
        <f t="shared" si="0"/>
        <v>1.6477129127901027</v>
      </c>
      <c r="D11" s="18">
        <f>INDEX(MAC!$H$3:$H$16,MATCH('LA-FA'!$A11,MAC!$A$3:$A$16,0))</f>
        <v>122.32505440840811</v>
      </c>
      <c r="E11" s="18">
        <f t="shared" ref="E11:E18" si="2">C11*D11/100</f>
        <v>2.0155657170648591</v>
      </c>
      <c r="F11" s="39"/>
      <c r="G11" s="39"/>
      <c r="H11" s="25"/>
      <c r="I11" s="25"/>
      <c r="J11" s="25"/>
      <c r="K11" s="25"/>
      <c r="L11" s="25"/>
      <c r="M11" s="5"/>
      <c r="N11" s="6">
        <f>100*J11*K11*(L11*0.00000001^3)^2*M11/INDEX('Reference-aQuartz'!$H$4:$H$17,MATCH($B$1,'Reference-aQuartz'!$A$4:$A$17,0))</f>
        <v>0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0.79</v>
      </c>
      <c r="C12" s="18">
        <f t="shared" si="0"/>
        <v>0.79371536652693986</v>
      </c>
      <c r="D12" s="18">
        <f>INDEX(MAC!$H$3:$H$16,MATCH('LA-FA'!$A12,MAC!$A$3:$A$16,0))</f>
        <v>44.261072668681777</v>
      </c>
      <c r="E12" s="18">
        <f t="shared" si="2"/>
        <v>0.35130693516098277</v>
      </c>
      <c r="F12" s="39"/>
      <c r="G12" s="39"/>
      <c r="H12" s="25"/>
      <c r="I12" s="25"/>
      <c r="J12" s="25"/>
      <c r="K12" s="25"/>
      <c r="L12" s="25"/>
      <c r="M12" s="5"/>
      <c r="N12" s="6">
        <f>100*J12*K12*(L12*0.00000001^3)^2*M12/INDEX('Reference-aQuartz'!$H$4:$H$17,MATCH($B$1,'Reference-aQuartz'!$A$4:$A$17,0))</f>
        <v>0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0.28000000000000003</v>
      </c>
      <c r="C13" s="18">
        <f t="shared" si="0"/>
        <v>0.28131683876904201</v>
      </c>
      <c r="D13" s="18">
        <f>INDEX(MAC!$H$3:$H$16,MATCH('LA-FA'!$A13,MAC!$A$3:$A$16,0))</f>
        <v>97.328178229861322</v>
      </c>
      <c r="E13" s="18">
        <f t="shared" si="2"/>
        <v>0.27380055422774485</v>
      </c>
      <c r="F13" s="39"/>
      <c r="G13" s="39"/>
      <c r="H13" s="25"/>
      <c r="I13" s="25"/>
      <c r="J13" s="25"/>
      <c r="K13" s="25"/>
      <c r="L13" s="25"/>
      <c r="M13" s="5"/>
      <c r="N13" s="6">
        <f>100*J13*K13*(L13*0.00000001^3)^2*M13/INDEX('Reference-aQuartz'!$H$4:$H$17,MATCH($B$1,'Reference-aQuartz'!$A$4:$A$17,0))</f>
        <v>0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0.49</v>
      </c>
      <c r="C14" s="18">
        <f t="shared" si="0"/>
        <v>0.49230446784582343</v>
      </c>
      <c r="D14" s="18">
        <f>INDEX(MAC!$H$3:$H$16,MATCH('LA-FA'!$A14,MAC!$A$3:$A$16,0))</f>
        <v>19.10926020222594</v>
      </c>
      <c r="E14" s="18">
        <f t="shared" si="2"/>
        <v>9.407574174784214E-2</v>
      </c>
      <c r="F14" s="39"/>
      <c r="G14" s="39"/>
      <c r="H14" s="25"/>
      <c r="I14" s="25"/>
      <c r="J14" s="25"/>
      <c r="K14" s="25"/>
      <c r="L14" s="25"/>
      <c r="M14" s="5"/>
      <c r="N14" s="6">
        <f>100*J14*K14*(L14*0.00000001^3)^2*M14/INDEX('Reference-aQuartz'!$H$4:$H$17,MATCH($B$1,'Reference-aQuartz'!$A$4:$A$17,0))</f>
        <v>0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0.93</v>
      </c>
      <c r="C15" s="18">
        <f t="shared" si="0"/>
        <v>0.93437378591146081</v>
      </c>
      <c r="D15" s="18">
        <f>INDEX(MAC!$H$3:$H$16,MATCH('LA-FA'!$A15,MAC!$A$3:$A$16,0))</f>
        <v>124.47726788956365</v>
      </c>
      <c r="E15" s="18">
        <f t="shared" si="2"/>
        <v>1.1630829605788668</v>
      </c>
      <c r="F15" s="39"/>
      <c r="G15" s="39"/>
      <c r="H15" s="25"/>
      <c r="I15" s="25"/>
      <c r="J15" s="25"/>
      <c r="K15" s="25"/>
      <c r="L15" s="25"/>
      <c r="M15" s="5"/>
      <c r="N15" s="6">
        <f>100*J15*K15*(L15*0.00000001^3)^2*M15/INDEX('Reference-aQuartz'!$H$4:$H$17,MATCH($B$1,'Reference-aQuartz'!$A$4:$A$17,0))</f>
        <v>0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1.02</v>
      </c>
      <c r="C16" s="18">
        <f t="shared" si="0"/>
        <v>1.0247970555157957</v>
      </c>
      <c r="D16" s="18">
        <f>INDEX(MAC!$H$3:$H$16,MATCH('LA-FA'!$A16,MAC!$A$3:$A$16,0))</f>
        <v>39.431437267071992</v>
      </c>
      <c r="E16" s="18">
        <f t="shared" si="2"/>
        <v>0.40409220806051188</v>
      </c>
      <c r="F16" s="39"/>
      <c r="G16" s="39"/>
      <c r="H16" s="25"/>
      <c r="I16" s="25"/>
      <c r="J16" s="25"/>
      <c r="K16" s="25"/>
      <c r="L16" s="25"/>
      <c r="M16" s="5"/>
      <c r="N16" s="6">
        <f>100*J16*K16*(L16*0.00000001^3)^2*M16/INDEX('Reference-aQuartz'!$H$4:$H$17,MATCH($B$1,'Reference-aQuartz'!$A$4:$A$17,0))</f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0.06</v>
      </c>
      <c r="C17" s="18">
        <f t="shared" si="0"/>
        <v>6.0282179736223275E-2</v>
      </c>
      <c r="D17" s="18">
        <f>INDEX(MAC!$H$3:$H$16,MATCH('LA-FA'!$A17,MAC!$A$3:$A$16,0))</f>
        <v>197.69998688868492</v>
      </c>
      <c r="E17" s="18">
        <f t="shared" si="2"/>
        <v>0.11917786143472689</v>
      </c>
      <c r="H17" s="21"/>
      <c r="I17" s="21"/>
      <c r="J17" s="21"/>
      <c r="K17" s="21"/>
      <c r="L17" s="21"/>
      <c r="M17" s="5"/>
      <c r="N17" s="37">
        <f>100*J17*K17*(L17*0.00000001^3)^2*M17/INDEX('Reference-aQuartz'!$H$4:$H$17,MATCH($B$1,'Reference-aQuartz'!$A$4:$A$17,0))</f>
        <v>0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1.73</v>
      </c>
      <c r="C18" s="18">
        <f>B18</f>
        <v>1.73</v>
      </c>
      <c r="D18" s="18">
        <f>INDEX(MAC!$H$3:$H$16,MATCH('LA-FA'!$A18,MAC!$A$3:$A$16,0))</f>
        <v>9.592279079279237</v>
      </c>
      <c r="E18" s="18">
        <f t="shared" si="2"/>
        <v>0.16594642807153079</v>
      </c>
      <c r="H18" s="104" t="s">
        <v>7</v>
      </c>
      <c r="I18" s="105"/>
      <c r="J18" s="105"/>
      <c r="K18" s="105"/>
      <c r="L18" s="105"/>
      <c r="M18" s="106"/>
      <c r="N18" s="37">
        <f>SUM(N6:N17)</f>
        <v>28.977806033802061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25" t="s">
        <v>7</v>
      </c>
      <c r="B19" s="40">
        <f>SUM(B6:B17)</f>
        <v>97.810000000000016</v>
      </c>
      <c r="C19" s="40">
        <f>SUM(C6:C18)</f>
        <v>100</v>
      </c>
      <c r="D19" s="25" t="s">
        <v>29</v>
      </c>
      <c r="E19" s="41">
        <f>SUM(E6:E18)</f>
        <v>52.72075926367912</v>
      </c>
      <c r="H19" s="107" t="s">
        <v>28</v>
      </c>
      <c r="I19" s="108"/>
      <c r="J19" s="108"/>
      <c r="K19" s="108"/>
      <c r="L19" s="108"/>
      <c r="M19" s="109"/>
      <c r="N19" s="37">
        <f>100-N18</f>
        <v>71.022193966197932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44734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0.37</v>
      </c>
      <c r="D23" s="52"/>
      <c r="E23" s="52">
        <v>0.24</v>
      </c>
      <c r="F23" s="53"/>
    </row>
    <row r="24" spans="1:48" x14ac:dyDescent="0.25">
      <c r="H24" s="46"/>
      <c r="I24" s="28">
        <v>4.2</v>
      </c>
      <c r="J24" s="33"/>
    </row>
    <row r="25" spans="1:48" x14ac:dyDescent="0.25">
      <c r="A25" s="25" t="s">
        <v>8</v>
      </c>
      <c r="B25" s="25" t="s">
        <v>30</v>
      </c>
      <c r="C25" s="25" t="s">
        <v>31</v>
      </c>
      <c r="D25" s="25" t="s">
        <v>68</v>
      </c>
      <c r="E25" s="25" t="s">
        <v>69</v>
      </c>
      <c r="F25" s="25" t="s">
        <v>74</v>
      </c>
      <c r="G25" s="54"/>
      <c r="H25" s="25" t="s">
        <v>9</v>
      </c>
      <c r="I25" s="25" t="s">
        <v>86</v>
      </c>
      <c r="J25" s="25" t="s">
        <v>2</v>
      </c>
      <c r="K25" s="25" t="s">
        <v>3</v>
      </c>
      <c r="L25" s="25" t="s">
        <v>4</v>
      </c>
      <c r="M25" s="25" t="s">
        <v>5</v>
      </c>
      <c r="N25" s="5" t="s">
        <v>15</v>
      </c>
      <c r="O25" s="5" t="s">
        <v>15</v>
      </c>
      <c r="P25" s="5" t="s">
        <v>15</v>
      </c>
      <c r="Q25" s="88" t="s">
        <v>96</v>
      </c>
      <c r="R25" s="89"/>
      <c r="S25" s="88" t="s">
        <v>122</v>
      </c>
      <c r="T25" s="88" t="s">
        <v>123</v>
      </c>
      <c r="U25" s="88" t="s">
        <v>82</v>
      </c>
      <c r="V25" s="36" t="s">
        <v>83</v>
      </c>
    </row>
    <row r="26" spans="1:48" x14ac:dyDescent="0.25">
      <c r="A26" s="25" t="s">
        <v>11</v>
      </c>
      <c r="B26" s="25" t="s">
        <v>93</v>
      </c>
      <c r="C26" s="25" t="s">
        <v>93</v>
      </c>
      <c r="D26" s="25" t="s">
        <v>13</v>
      </c>
      <c r="E26" s="25" t="s">
        <v>13</v>
      </c>
      <c r="F26" s="25" t="s">
        <v>13</v>
      </c>
      <c r="G26" s="54"/>
      <c r="H26" s="25" t="s">
        <v>11</v>
      </c>
      <c r="I26" s="25" t="s">
        <v>11</v>
      </c>
      <c r="J26" s="25" t="s">
        <v>11</v>
      </c>
      <c r="K26" s="25" t="s">
        <v>16</v>
      </c>
      <c r="L26" s="25" t="s">
        <v>19</v>
      </c>
      <c r="M26" s="25" t="s">
        <v>13</v>
      </c>
      <c r="N26" s="5" t="s">
        <v>75</v>
      </c>
      <c r="O26" s="88" t="s">
        <v>113</v>
      </c>
      <c r="P26" s="68" t="s">
        <v>76</v>
      </c>
      <c r="Q26" s="88" t="s">
        <v>76</v>
      </c>
      <c r="R26" s="89"/>
      <c r="S26" s="88" t="s">
        <v>76</v>
      </c>
      <c r="T26" s="88" t="s">
        <v>76</v>
      </c>
      <c r="U26" s="88" t="s">
        <v>11</v>
      </c>
      <c r="V26" s="36" t="s">
        <v>11</v>
      </c>
    </row>
    <row r="27" spans="1:48" x14ac:dyDescent="0.25">
      <c r="A27" s="1" t="s">
        <v>53</v>
      </c>
      <c r="B27" s="12">
        <f>0.65*'LA-Ref 0.5'!B6+0.35*B6</f>
        <v>32.15</v>
      </c>
      <c r="C27" s="18">
        <f>B27*(100-B$39)/B$41</f>
        <v>32.172068952219348</v>
      </c>
      <c r="D27" s="18">
        <f>INDEX(MAC!$H$3:$H$16,MATCH($A27,MAC!$A$3:$A$16,0))</f>
        <v>35.900659077291785</v>
      </c>
      <c r="E27" s="18">
        <f>C27*D27/100</f>
        <v>11.549984792647509</v>
      </c>
      <c r="F27" s="21"/>
      <c r="G27" s="55"/>
      <c r="H27" s="66" t="s">
        <v>34</v>
      </c>
      <c r="I27" s="66"/>
      <c r="J27" s="65">
        <v>6.3E-7</v>
      </c>
      <c r="K27" s="66">
        <f>'LA-Ref 0.5'!K6</f>
        <v>3.15</v>
      </c>
      <c r="L27" s="81">
        <f>'LA-Ref 0.5'!L6</f>
        <v>2166.0790000000002</v>
      </c>
      <c r="M27" s="5">
        <f>$F$41</f>
        <v>55.768006610540432</v>
      </c>
      <c r="N27" s="6">
        <f>100*J27*K27*(L27*0.00000001^3)^2*M27/INDEX('Reference-aQuartz'!$H$4:$H$17,MATCH($B$22,'Reference-aQuartz'!$A$4:$A$17,0))</f>
        <v>0.60261644794274838</v>
      </c>
      <c r="O27" s="32">
        <f>P27*100/65</f>
        <v>1.1496067622292432</v>
      </c>
      <c r="P27" s="32">
        <f t="shared" ref="P27:P39" si="3">N27*(1+$E$23)</f>
        <v>0.747244395449008</v>
      </c>
      <c r="Q27" s="69"/>
      <c r="R27" s="110" t="s">
        <v>79</v>
      </c>
      <c r="S27" s="100">
        <f>('LA-Ref 0.5'!P6+'LA-Ref 0.5'!P7)*0.65</f>
        <v>42.364846282241693</v>
      </c>
      <c r="T27" s="100">
        <f>P27+P28</f>
        <v>0.747244395449008</v>
      </c>
      <c r="U27" s="102">
        <f>(S27-T27)/S27</f>
        <v>0.98236168755409281</v>
      </c>
      <c r="V27" s="30">
        <f>(U27*S27+U29*S29+U30*S30+U31*S31)/S32</f>
        <v>0.95429889849920491</v>
      </c>
    </row>
    <row r="28" spans="1:48" x14ac:dyDescent="0.25">
      <c r="A28" s="1" t="s">
        <v>54</v>
      </c>
      <c r="B28" s="12">
        <f>0.65*'LA-Ref 0.5'!B7+0.35*B7</f>
        <v>11.71</v>
      </c>
      <c r="C28" s="18">
        <f t="shared" ref="C28:C38" si="4">B28*(100-B$39)/B$41</f>
        <v>11.718038178242258</v>
      </c>
      <c r="D28" s="18">
        <f>INDEX(MAC!$H$3:$H$16,MATCH($A28,MAC!$A$3:$A$16,0))</f>
        <v>31.664851266660783</v>
      </c>
      <c r="E28" s="18">
        <f t="shared" ref="E28:E39" si="5">C28*D28/100</f>
        <v>3.7104993605109375</v>
      </c>
      <c r="F28" s="21"/>
      <c r="G28" s="55"/>
      <c r="H28" s="66" t="s">
        <v>35</v>
      </c>
      <c r="I28" s="66">
        <v>94742</v>
      </c>
      <c r="J28" s="66">
        <v>0</v>
      </c>
      <c r="K28" s="81">
        <f>'LA-Ref 0.5'!K7</f>
        <v>3.16</v>
      </c>
      <c r="L28" s="81">
        <f>'LA-Ref 0.5'!L7</f>
        <v>4316.1279999999997</v>
      </c>
      <c r="M28" s="5">
        <f t="shared" ref="M28:M39" si="6">$F$41</f>
        <v>55.768006610540432</v>
      </c>
      <c r="N28" s="6">
        <f>100*J28*K28*(L28*0.00000001^3)^2*M28/INDEX('Reference-aQuartz'!$H$4:$H$17,MATCH($B$22,'Reference-aQuartz'!$A$4:$A$17,0))</f>
        <v>0</v>
      </c>
      <c r="O28" s="32">
        <f t="shared" ref="O28:O39" si="7">P28*100/65</f>
        <v>0</v>
      </c>
      <c r="P28" s="32">
        <f t="shared" si="3"/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0.5'!B8+0.35*B8</f>
        <v>4.8004999999999995</v>
      </c>
      <c r="C29" s="18">
        <f t="shared" si="4"/>
        <v>4.8037952412170757</v>
      </c>
      <c r="D29" s="18">
        <f>INDEX(MAC!$H$3:$H$16,MATCH($A29,MAC!$A$3:$A$16,0))</f>
        <v>214.68463619455559</v>
      </c>
      <c r="E29" s="18">
        <f t="shared" si="5"/>
        <v>10.313010337138254</v>
      </c>
      <c r="F29" s="21"/>
      <c r="G29" s="55"/>
      <c r="H29" s="66" t="s">
        <v>36</v>
      </c>
      <c r="I29" s="66">
        <v>81096</v>
      </c>
      <c r="J29" s="65">
        <v>6.029E-5</v>
      </c>
      <c r="K29" s="81">
        <f>'LA-Ref 0.5'!K8</f>
        <v>3.29</v>
      </c>
      <c r="L29" s="81">
        <f>'LA-Ref 0.5'!L8</f>
        <v>347.22930000000002</v>
      </c>
      <c r="M29" s="5">
        <f t="shared" si="6"/>
        <v>55.768006610540432</v>
      </c>
      <c r="N29" s="6">
        <f>100*J29*K29*(L29*0.00000001^3)^2*M29/INDEX('Reference-aQuartz'!$H$4:$H$17,MATCH($B$22,'Reference-aQuartz'!$A$4:$A$17,0))</f>
        <v>1.5478012946182746</v>
      </c>
      <c r="O29" s="32">
        <f t="shared" si="7"/>
        <v>2.9527286235794779</v>
      </c>
      <c r="P29" s="32">
        <f t="shared" si="3"/>
        <v>1.9192736053266606</v>
      </c>
      <c r="Q29" s="69"/>
      <c r="R29" s="89" t="s">
        <v>80</v>
      </c>
      <c r="S29" s="69">
        <f>'LA-Ref 0.5'!P8*0.65</f>
        <v>6.6266164042793037</v>
      </c>
      <c r="T29" s="69">
        <f>P29</f>
        <v>1.9192736053266606</v>
      </c>
      <c r="U29" s="34">
        <f>(S29-T29)/S29</f>
        <v>0.71036898950613148</v>
      </c>
    </row>
    <row r="30" spans="1:48" x14ac:dyDescent="0.25">
      <c r="A30" s="1" t="s">
        <v>0</v>
      </c>
      <c r="B30" s="12">
        <f>0.65*'LA-Ref 0.5'!B9+0.35*B9</f>
        <v>1.28</v>
      </c>
      <c r="C30" s="18">
        <f t="shared" si="4"/>
        <v>1.2808786394662759</v>
      </c>
      <c r="D30" s="18">
        <f>INDEX(MAC!$H$3:$H$16,MATCH($A30,MAC!$A$3:$A$16,0))</f>
        <v>28.686693628423974</v>
      </c>
      <c r="E30" s="18">
        <f t="shared" si="5"/>
        <v>0.36744173105561584</v>
      </c>
      <c r="F30" s="21"/>
      <c r="G30" s="55"/>
      <c r="H30" s="66" t="s">
        <v>37</v>
      </c>
      <c r="I30" s="66">
        <v>1841</v>
      </c>
      <c r="J30" s="66">
        <v>0</v>
      </c>
      <c r="K30" s="81">
        <f>'LA-Ref 0.5'!K9</f>
        <v>3.04</v>
      </c>
      <c r="L30" s="81">
        <f>'LA-Ref 0.5'!L9</f>
        <v>3541.5859999999998</v>
      </c>
      <c r="M30" s="5">
        <f t="shared" si="6"/>
        <v>55.768006610540432</v>
      </c>
      <c r="N30" s="6">
        <f>100*J30*K30*(L30*0.00000001^3)^2*M30/INDEX('Reference-aQuartz'!$H$4:$H$17,MATCH($B$22,'Reference-aQuartz'!$A$4:$A$17,0))</f>
        <v>0</v>
      </c>
      <c r="O30" s="32">
        <f t="shared" si="7"/>
        <v>0</v>
      </c>
      <c r="P30" s="32">
        <f t="shared" si="3"/>
        <v>0</v>
      </c>
      <c r="Q30" s="69"/>
      <c r="R30" s="89" t="s">
        <v>37</v>
      </c>
      <c r="S30" s="69">
        <f>'LA-Ref 0.5'!P9*0.65</f>
        <v>2.3605659551948133</v>
      </c>
      <c r="T30" s="69">
        <f>P30</f>
        <v>0</v>
      </c>
      <c r="U30" s="34">
        <f t="shared" ref="U30:U31" si="8">(S30-T30)/S30</f>
        <v>1</v>
      </c>
    </row>
    <row r="31" spans="1:48" x14ac:dyDescent="0.25">
      <c r="A31" s="1" t="s">
        <v>1</v>
      </c>
      <c r="B31" s="12">
        <f>0.65*'LA-Ref 0.5'!B10+0.35*B10</f>
        <v>42.575000000000003</v>
      </c>
      <c r="C31" s="18">
        <f t="shared" si="4"/>
        <v>42.604225058809924</v>
      </c>
      <c r="D31" s="18">
        <f>INDEX(MAC!$H$3:$H$16,MATCH($A31,MAC!$A$3:$A$16,0))</f>
        <v>124.77929454143408</v>
      </c>
      <c r="E31" s="18">
        <f t="shared" si="5"/>
        <v>53.161251473227907</v>
      </c>
      <c r="F31" s="21"/>
      <c r="G31" s="55"/>
      <c r="H31" s="66" t="s">
        <v>38</v>
      </c>
      <c r="I31" s="66">
        <v>98836</v>
      </c>
      <c r="J31" s="66">
        <v>0</v>
      </c>
      <c r="K31" s="81">
        <f>'LA-Ref 0.5'!K10</f>
        <v>3.75</v>
      </c>
      <c r="L31" s="81">
        <f>'LA-Ref 0.5'!L10</f>
        <v>430.91660000000002</v>
      </c>
      <c r="M31" s="5">
        <f t="shared" si="6"/>
        <v>55.768006610540432</v>
      </c>
      <c r="N31" s="6">
        <f>100*J31*K31*(L31*0.00000001^3)^2*M31/INDEX('Reference-aQuartz'!$H$4:$H$17,MATCH($B$22,'Reference-aQuartz'!$A$4:$A$17,0))</f>
        <v>0</v>
      </c>
      <c r="O31" s="32">
        <f t="shared" si="7"/>
        <v>0</v>
      </c>
      <c r="P31" s="32">
        <f t="shared" si="3"/>
        <v>0</v>
      </c>
      <c r="Q31" s="69"/>
      <c r="R31" s="89" t="s">
        <v>81</v>
      </c>
      <c r="S31" s="69">
        <f>'LA-Ref 0.5'!P10*0.65</f>
        <v>6.9948801462326609</v>
      </c>
      <c r="T31" s="69">
        <f>P31</f>
        <v>0</v>
      </c>
      <c r="U31" s="34">
        <f t="shared" si="8"/>
        <v>1</v>
      </c>
    </row>
    <row r="32" spans="1:48" x14ac:dyDescent="0.25">
      <c r="A32" s="1" t="s">
        <v>56</v>
      </c>
      <c r="B32" s="12">
        <f>0.65*'LA-Ref 0.5'!B11+0.35*B11</f>
        <v>0.82099999999999995</v>
      </c>
      <c r="C32" s="18">
        <f t="shared" si="4"/>
        <v>0.82156356484516602</v>
      </c>
      <c r="D32" s="18">
        <f>INDEX(MAC!$H$3:$H$16,MATCH($A32,MAC!$A$3:$A$16,0))</f>
        <v>122.32505440840811</v>
      </c>
      <c r="E32" s="18">
        <f t="shared" si="5"/>
        <v>1.0049780776965065</v>
      </c>
      <c r="F32" s="21"/>
      <c r="G32" s="55"/>
      <c r="H32" s="66" t="s">
        <v>40</v>
      </c>
      <c r="I32" s="66">
        <v>202220</v>
      </c>
      <c r="J32" s="66">
        <v>1.8833371000000002E-2</v>
      </c>
      <c r="K32" s="66">
        <v>2.2400000000000002</v>
      </c>
      <c r="L32" s="66">
        <v>54.853830000000002</v>
      </c>
      <c r="M32" s="5">
        <f t="shared" si="6"/>
        <v>55.768006610540432</v>
      </c>
      <c r="N32" s="6">
        <f>100*J32*K32*(L32*0.00000001^3)^2*M32/INDEX('Reference-aQuartz'!$H$4:$H$17,MATCH($B$22,'Reference-aQuartz'!$A$4:$A$17,0))</f>
        <v>8.2154486724789582</v>
      </c>
      <c r="O32" s="32">
        <f t="shared" si="7"/>
        <v>15.672548236729089</v>
      </c>
      <c r="P32" s="32">
        <f t="shared" si="3"/>
        <v>10.187156353873908</v>
      </c>
      <c r="Q32" s="69">
        <v>11.8</v>
      </c>
      <c r="R32" s="89" t="s">
        <v>84</v>
      </c>
      <c r="S32" s="69">
        <f>SUM(S27:S31)</f>
        <v>58.346908787948472</v>
      </c>
      <c r="T32" s="69">
        <f>SUM(T27:T31)</f>
        <v>2.6665180007756684</v>
      </c>
    </row>
    <row r="33" spans="1:22" x14ac:dyDescent="0.25">
      <c r="A33" s="1" t="s">
        <v>57</v>
      </c>
      <c r="B33" s="12">
        <f>0.65*'LA-Ref 0.5'!B12+0.35*B12</f>
        <v>2.3175000000000003</v>
      </c>
      <c r="C33" s="18">
        <f t="shared" si="4"/>
        <v>2.3190908179399177</v>
      </c>
      <c r="D33" s="18">
        <f>INDEX(MAC!$H$3:$H$16,MATCH($A33,MAC!$A$3:$A$16,0))</f>
        <v>44.261072668681777</v>
      </c>
      <c r="E33" s="18">
        <f t="shared" si="5"/>
        <v>1.0264544721811135</v>
      </c>
      <c r="F33" s="21"/>
      <c r="G33" s="55"/>
      <c r="H33" s="66" t="s">
        <v>25</v>
      </c>
      <c r="I33" s="66">
        <v>73446</v>
      </c>
      <c r="J33" s="65">
        <v>3.4870000000000003E-5</v>
      </c>
      <c r="K33" s="66">
        <v>2.67</v>
      </c>
      <c r="L33" s="66">
        <v>373.62329999999997</v>
      </c>
      <c r="M33" s="5">
        <f t="shared" si="6"/>
        <v>55.768006610540432</v>
      </c>
      <c r="N33" s="6">
        <f>100*J33*K33*(L33*0.00000001^3)^2*M33/INDEX('Reference-aQuartz'!$H$4:$H$17,MATCH($B$22,'Reference-aQuartz'!$A$4:$A$17,0))</f>
        <v>0.84114798108910172</v>
      </c>
      <c r="O33" s="32">
        <f t="shared" si="7"/>
        <v>1.6046515331545941</v>
      </c>
      <c r="P33" s="32">
        <f t="shared" si="3"/>
        <v>1.0430234965504861</v>
      </c>
      <c r="Q33" s="69">
        <v>0.7</v>
      </c>
    </row>
    <row r="34" spans="1:22" x14ac:dyDescent="0.25">
      <c r="A34" s="1" t="s">
        <v>14</v>
      </c>
      <c r="B34" s="12">
        <f>0.65*'LA-Ref 0.5'!B13+0.35*B13</f>
        <v>0.1825</v>
      </c>
      <c r="C34" s="18">
        <f t="shared" si="4"/>
        <v>0.18262527476765261</v>
      </c>
      <c r="D34" s="18">
        <f>INDEX(MAC!$H$3:$H$16,MATCH($A34,MAC!$A$3:$A$16,0))</f>
        <v>97.328178229861322</v>
      </c>
      <c r="E34" s="18">
        <f t="shared" si="5"/>
        <v>0.17774585291863487</v>
      </c>
      <c r="F34" s="21"/>
      <c r="G34" s="55"/>
      <c r="H34" s="66" t="s">
        <v>21</v>
      </c>
      <c r="I34" s="66">
        <v>174</v>
      </c>
      <c r="J34" s="66">
        <v>1.04487E-3</v>
      </c>
      <c r="K34" s="66">
        <v>2.63</v>
      </c>
      <c r="L34" s="66">
        <v>113.7593</v>
      </c>
      <c r="M34" s="5">
        <f t="shared" si="6"/>
        <v>55.768006610540432</v>
      </c>
      <c r="N34" s="6">
        <f>100*J34*K34*(L34*0.00000001^3)^2*M34/INDEX('Reference-aQuartz'!$H$4:$H$17,MATCH($B$22,'Reference-aQuartz'!$A$4:$A$17,0))</f>
        <v>2.3016173607800225</v>
      </c>
      <c r="O34" s="32">
        <f t="shared" si="7"/>
        <v>4.3907777344111203</v>
      </c>
      <c r="P34" s="32">
        <f t="shared" si="3"/>
        <v>2.854005527367228</v>
      </c>
      <c r="Q34" s="69"/>
    </row>
    <row r="35" spans="1:22" x14ac:dyDescent="0.25">
      <c r="A35" s="1" t="s">
        <v>58</v>
      </c>
      <c r="B35" s="12">
        <f>0.65*'LA-Ref 0.5'!B14+0.35*B14</f>
        <v>0.38600000000000001</v>
      </c>
      <c r="C35" s="18">
        <f t="shared" si="4"/>
        <v>0.38626496471404881</v>
      </c>
      <c r="D35" s="18">
        <f>INDEX(MAC!$H$3:$H$16,MATCH($A35,MAC!$A$3:$A$16,0))</f>
        <v>19.10926020222594</v>
      </c>
      <c r="E35" s="18">
        <f t="shared" si="5"/>
        <v>7.3812377177243801E-2</v>
      </c>
      <c r="F35" s="21"/>
      <c r="G35" s="55"/>
      <c r="H35" s="66" t="s">
        <v>87</v>
      </c>
      <c r="I35" s="66">
        <v>155395</v>
      </c>
      <c r="J35" s="65">
        <v>7.1600000000000001E-6</v>
      </c>
      <c r="K35" s="66">
        <v>1.79</v>
      </c>
      <c r="L35" s="66">
        <v>2332.8589999999999</v>
      </c>
      <c r="M35" s="5">
        <f t="shared" si="6"/>
        <v>55.768006610540432</v>
      </c>
      <c r="N35" s="6">
        <f>100*J35*K35*(L35*0.00000001^3)^2*M35/INDEX('Reference-aQuartz'!$H$4:$H$17,MATCH($B$22,'Reference-aQuartz'!$A$4:$A$17,0))</f>
        <v>4.5142367120438323</v>
      </c>
      <c r="O35" s="32">
        <f t="shared" si="7"/>
        <v>8.6117746506682327</v>
      </c>
      <c r="P35" s="32">
        <f t="shared" si="3"/>
        <v>5.597653522934352</v>
      </c>
      <c r="Q35" s="69"/>
    </row>
    <row r="36" spans="1:22" x14ac:dyDescent="0.25">
      <c r="A36" s="1" t="s">
        <v>59</v>
      </c>
      <c r="B36" s="12">
        <f>0.65*'LA-Ref 0.5'!B15+0.35*B15</f>
        <v>0.44900000000000001</v>
      </c>
      <c r="C36" s="18">
        <f t="shared" si="4"/>
        <v>0.44930821025027956</v>
      </c>
      <c r="D36" s="18">
        <f>INDEX(MAC!$H$3:$H$16,MATCH($A36,MAC!$A$3:$A$16,0))</f>
        <v>124.47726788956365</v>
      </c>
      <c r="E36" s="18">
        <f t="shared" si="5"/>
        <v>0.55928658452304436</v>
      </c>
      <c r="F36" s="21"/>
      <c r="G36" s="55"/>
      <c r="H36" s="66" t="s">
        <v>88</v>
      </c>
      <c r="I36" s="66">
        <v>81963</v>
      </c>
      <c r="J36" s="82">
        <v>0</v>
      </c>
      <c r="K36" s="66">
        <v>2.14</v>
      </c>
      <c r="L36" s="66">
        <v>182.05549999999999</v>
      </c>
      <c r="M36" s="5">
        <f t="shared" si="6"/>
        <v>55.768006610540432</v>
      </c>
      <c r="N36" s="6">
        <f>100*J36*K36*(L36*0.00000001^3)^2*M36/INDEX('Reference-aQuartz'!$H$4:$H$17,MATCH($B$22,'Reference-aQuartz'!$A$4:$A$17,0))</f>
        <v>0</v>
      </c>
      <c r="O36" s="32">
        <f t="shared" si="7"/>
        <v>0</v>
      </c>
      <c r="P36" s="32">
        <f t="shared" si="3"/>
        <v>0</v>
      </c>
      <c r="Q36" s="69"/>
    </row>
    <row r="37" spans="1:22" x14ac:dyDescent="0.25">
      <c r="A37" s="1" t="s">
        <v>60</v>
      </c>
      <c r="B37" s="12">
        <f>0.65*'LA-Ref 0.5'!B16+0.35*B16</f>
        <v>0.52600000000000002</v>
      </c>
      <c r="C37" s="18">
        <f t="shared" si="4"/>
        <v>0.52636106590567278</v>
      </c>
      <c r="D37" s="18">
        <f>INDEX(MAC!$H$3:$H$16,MATCH($A37,MAC!$A$3:$A$16,0))</f>
        <v>39.431437267071992</v>
      </c>
      <c r="E37" s="18">
        <f t="shared" si="5"/>
        <v>0.20755173350088682</v>
      </c>
      <c r="F37" s="21"/>
      <c r="G37" s="55"/>
      <c r="H37" s="66" t="s">
        <v>89</v>
      </c>
      <c r="I37" s="66">
        <v>59327</v>
      </c>
      <c r="J37" s="65">
        <v>5.711E-5</v>
      </c>
      <c r="K37" s="66">
        <v>2.17</v>
      </c>
      <c r="L37" s="66">
        <v>435.89859999999999</v>
      </c>
      <c r="M37" s="5">
        <f t="shared" si="6"/>
        <v>55.768006610540432</v>
      </c>
      <c r="N37" s="6">
        <f>100*J37*K37*(L37*0.00000001^3)^2*M37/INDEX('Reference-aQuartz'!$H$4:$H$17,MATCH($B$22,'Reference-aQuartz'!$A$4:$A$17,0))</f>
        <v>1.5239970856551954</v>
      </c>
      <c r="O37" s="32">
        <f t="shared" si="7"/>
        <v>2.9073175172499113</v>
      </c>
      <c r="P37" s="32">
        <f t="shared" si="3"/>
        <v>1.8897563862124422</v>
      </c>
      <c r="Q37" s="69"/>
    </row>
    <row r="38" spans="1:22" x14ac:dyDescent="0.25">
      <c r="A38" s="19" t="s">
        <v>23</v>
      </c>
      <c r="B38" s="12">
        <f>0.65*'LA-Ref 0.5'!B17+0.35*B17</f>
        <v>4.3749999999999997E-2</v>
      </c>
      <c r="C38" s="18">
        <f t="shared" si="4"/>
        <v>4.3780031622382469E-2</v>
      </c>
      <c r="D38" s="18">
        <f>INDEX(MAC!$H$3:$H$16,MATCH($A38,MAC!$A$3:$A$16,0))</f>
        <v>197.69998688868492</v>
      </c>
      <c r="E38" s="18">
        <f t="shared" si="5"/>
        <v>8.6553116777312256E-2</v>
      </c>
      <c r="F38" s="21"/>
      <c r="G38" s="55"/>
      <c r="H38" s="66" t="s">
        <v>90</v>
      </c>
      <c r="I38" s="66">
        <v>2105252</v>
      </c>
      <c r="J38" s="65">
        <v>5.0499999999999999E-6</v>
      </c>
      <c r="K38" s="66">
        <v>1.81</v>
      </c>
      <c r="L38" s="66">
        <v>1417.1990000000001</v>
      </c>
      <c r="M38" s="5">
        <f t="shared" si="6"/>
        <v>55.768006610540432</v>
      </c>
      <c r="N38" s="6">
        <f>100*J38*K38*(L38*0.00000001^3)^2*M38/INDEX('Reference-aQuartz'!$H$4:$H$17,MATCH($B$22,'Reference-aQuartz'!$A$4:$A$17,0))</f>
        <v>1.1881545119659576</v>
      </c>
      <c r="O38" s="32">
        <f t="shared" si="7"/>
        <v>2.2666332228273651</v>
      </c>
      <c r="P38" s="32">
        <f t="shared" si="3"/>
        <v>1.4733115948377873</v>
      </c>
      <c r="Q38" s="69"/>
    </row>
    <row r="39" spans="1:22" x14ac:dyDescent="0.25">
      <c r="A39" s="1" t="s">
        <v>66</v>
      </c>
      <c r="B39" s="12">
        <f>0.65*'LA-Ref 0.5'!B18+0.35*B18</f>
        <v>2.6920000000000002</v>
      </c>
      <c r="C39" s="18">
        <f>B39</f>
        <v>2.6920000000000002</v>
      </c>
      <c r="D39" s="18">
        <f>INDEX(MAC!$H$3:$H$16,MATCH($A39,MAC!$A$3:$A$16,0))</f>
        <v>9.592279079279237</v>
      </c>
      <c r="E39" s="18">
        <f t="shared" si="5"/>
        <v>0.25822415281419708</v>
      </c>
      <c r="F39" s="21"/>
      <c r="G39" s="55"/>
      <c r="H39" s="66" t="s">
        <v>41</v>
      </c>
      <c r="I39" s="66">
        <v>158098</v>
      </c>
      <c r="J39" s="66">
        <v>5.0761000000000003E-4</v>
      </c>
      <c r="K39" s="66">
        <v>3.14</v>
      </c>
      <c r="L39" s="66">
        <v>167.93870000000001</v>
      </c>
      <c r="M39" s="5">
        <f t="shared" si="6"/>
        <v>55.768006610540432</v>
      </c>
      <c r="N39" s="6">
        <f>100*J39*K39*(L39*0.00000001^3)^2*M39/INDEX('Reference-aQuartz'!$H$4:$H$17,MATCH($B$22,'Reference-aQuartz'!$A$4:$A$17,0))</f>
        <v>2.9093949819846081</v>
      </c>
      <c r="O39" s="32">
        <f t="shared" si="7"/>
        <v>5.5502304271706375</v>
      </c>
      <c r="P39" s="32">
        <f t="shared" si="3"/>
        <v>3.6076497776609142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107" t="s">
        <v>7</v>
      </c>
      <c r="I40" s="108"/>
      <c r="J40" s="108"/>
      <c r="K40" s="108"/>
      <c r="L40" s="108"/>
      <c r="M40" s="109"/>
      <c r="N40" s="6">
        <f>SUM(N27:N39)</f>
        <v>23.644415048558699</v>
      </c>
      <c r="O40" s="31">
        <f>SUM(O27:O39)</f>
        <v>45.106268708019677</v>
      </c>
      <c r="P40" s="31">
        <f>SUM(P27:P39)</f>
        <v>29.319074660212788</v>
      </c>
    </row>
    <row r="41" spans="1:22" x14ac:dyDescent="0.25">
      <c r="A41" s="25" t="s">
        <v>7</v>
      </c>
      <c r="B41" s="40">
        <f>SUM(B27:B38)</f>
        <v>97.241249999999994</v>
      </c>
      <c r="C41" s="40">
        <f>SUM(C27:C39)</f>
        <v>100</v>
      </c>
      <c r="D41" s="25" t="s">
        <v>29</v>
      </c>
      <c r="E41" s="56">
        <f>SUM(E27:E39)</f>
        <v>82.496794062169172</v>
      </c>
      <c r="F41" s="57">
        <f>E41*(1-C23)+D40*C23</f>
        <v>55.768006610540432</v>
      </c>
      <c r="H41" s="107" t="s">
        <v>28</v>
      </c>
      <c r="I41" s="108"/>
      <c r="J41" s="108"/>
      <c r="K41" s="108"/>
      <c r="L41" s="108"/>
      <c r="M41" s="109"/>
      <c r="N41" s="6">
        <f>100-N40</f>
        <v>76.355584951441301</v>
      </c>
      <c r="O41" s="31">
        <f>100-O40</f>
        <v>54.893731291980323</v>
      </c>
      <c r="P41" s="31">
        <f>100-P40</f>
        <v>70.680925339787208</v>
      </c>
    </row>
    <row r="44" spans="1:22" x14ac:dyDescent="0.25">
      <c r="A44" s="42" t="s">
        <v>32</v>
      </c>
      <c r="B44" s="43">
        <v>44734</v>
      </c>
      <c r="C44" s="47" t="s">
        <v>85</v>
      </c>
      <c r="D44" s="48"/>
      <c r="E44" s="48" t="s">
        <v>77</v>
      </c>
      <c r="F44" s="49"/>
    </row>
    <row r="45" spans="1:22" x14ac:dyDescent="0.25">
      <c r="A45" s="44" t="s">
        <v>78</v>
      </c>
      <c r="B45" s="50"/>
      <c r="C45" s="51">
        <v>0.4</v>
      </c>
      <c r="D45" s="52"/>
      <c r="E45" s="52">
        <v>0.26</v>
      </c>
      <c r="F45" s="53"/>
    </row>
    <row r="46" spans="1:22" x14ac:dyDescent="0.25">
      <c r="H46" s="46" t="s">
        <v>6</v>
      </c>
      <c r="I46" s="28">
        <v>3.88</v>
      </c>
      <c r="J46" s="33"/>
    </row>
    <row r="47" spans="1:22" x14ac:dyDescent="0.25">
      <c r="A47" s="25" t="s">
        <v>8</v>
      </c>
      <c r="B47" s="25" t="s">
        <v>30</v>
      </c>
      <c r="C47" s="25" t="s">
        <v>31</v>
      </c>
      <c r="D47" s="25" t="s">
        <v>68</v>
      </c>
      <c r="E47" s="25" t="s">
        <v>69</v>
      </c>
      <c r="F47" s="25" t="s">
        <v>74</v>
      </c>
      <c r="G47" s="54"/>
      <c r="H47" s="25" t="s">
        <v>9</v>
      </c>
      <c r="I47" s="25" t="s">
        <v>86</v>
      </c>
      <c r="J47" s="25" t="s">
        <v>2</v>
      </c>
      <c r="K47" s="25" t="s">
        <v>3</v>
      </c>
      <c r="L47" s="25" t="s">
        <v>4</v>
      </c>
      <c r="M47" s="25" t="s">
        <v>5</v>
      </c>
      <c r="N47" s="5" t="s">
        <v>15</v>
      </c>
      <c r="O47" s="5" t="s">
        <v>15</v>
      </c>
      <c r="P47" s="5" t="s">
        <v>15</v>
      </c>
      <c r="Q47" s="88" t="s">
        <v>96</v>
      </c>
      <c r="R47" s="89"/>
      <c r="S47" s="96" t="s">
        <v>122</v>
      </c>
      <c r="T47" s="96" t="s">
        <v>123</v>
      </c>
      <c r="U47" s="88" t="s">
        <v>82</v>
      </c>
      <c r="V47" s="36" t="s">
        <v>83</v>
      </c>
    </row>
    <row r="48" spans="1:22" x14ac:dyDescent="0.25">
      <c r="A48" s="25" t="s">
        <v>11</v>
      </c>
      <c r="B48" s="25" t="s">
        <v>93</v>
      </c>
      <c r="C48" s="25" t="s">
        <v>93</v>
      </c>
      <c r="D48" s="25" t="s">
        <v>13</v>
      </c>
      <c r="E48" s="25" t="s">
        <v>13</v>
      </c>
      <c r="F48" s="25" t="s">
        <v>13</v>
      </c>
      <c r="G48" s="54"/>
      <c r="H48" s="25" t="s">
        <v>11</v>
      </c>
      <c r="I48" s="25" t="s">
        <v>11</v>
      </c>
      <c r="J48" s="25" t="s">
        <v>11</v>
      </c>
      <c r="K48" s="25" t="s">
        <v>16</v>
      </c>
      <c r="L48" s="25" t="s">
        <v>19</v>
      </c>
      <c r="M48" s="25" t="s">
        <v>13</v>
      </c>
      <c r="N48" s="5" t="s">
        <v>75</v>
      </c>
      <c r="O48" s="88" t="s">
        <v>113</v>
      </c>
      <c r="P48" s="68" t="s">
        <v>76</v>
      </c>
      <c r="Q48" s="88" t="s">
        <v>76</v>
      </c>
      <c r="R48" s="89"/>
      <c r="S48" s="88" t="s">
        <v>76</v>
      </c>
      <c r="T48" s="88" t="s">
        <v>76</v>
      </c>
      <c r="U48" s="88" t="s">
        <v>11</v>
      </c>
      <c r="V48" s="36" t="s">
        <v>11</v>
      </c>
    </row>
    <row r="49" spans="1:22" x14ac:dyDescent="0.25">
      <c r="A49" s="1" t="s">
        <v>53</v>
      </c>
      <c r="B49" s="12">
        <f>0.65*'LA-Ref 0.5'!B6+0.35*B6</f>
        <v>32.15</v>
      </c>
      <c r="C49" s="18">
        <f>B49*(100-B$39)/B$41</f>
        <v>32.172068952219348</v>
      </c>
      <c r="D49" s="18">
        <f>INDEX(MAC!$H$3:$H$16,MATCH($A49,MAC!$A$3:$A$16,0))</f>
        <v>35.900659077291785</v>
      </c>
      <c r="E49" s="18">
        <f>C49*D49/100</f>
        <v>11.549984792647509</v>
      </c>
      <c r="F49" s="21"/>
      <c r="G49" s="55"/>
      <c r="H49" s="66" t="s">
        <v>34</v>
      </c>
      <c r="I49" s="66"/>
      <c r="J49" s="65">
        <v>5.8999999999999996E-7</v>
      </c>
      <c r="K49" s="66">
        <f>'LA-Ref 0.5'!K6</f>
        <v>3.15</v>
      </c>
      <c r="L49" s="81">
        <f>'LA-Ref 0.5'!L6</f>
        <v>2166.0790000000002</v>
      </c>
      <c r="M49" s="5">
        <f>$F$63</f>
        <v>53.600807627975939</v>
      </c>
      <c r="N49" s="6">
        <f>100*J49*K49*(L49*0.00000001^3)^2*M49/INDEX('Reference-aQuartz'!$H$4:$H$17,MATCH($B$44,'Reference-aQuartz'!$A$4:$A$17,0))</f>
        <v>0.54242369857049599</v>
      </c>
      <c r="O49" s="32">
        <f>P49*100/65</f>
        <v>1.0514674772289614</v>
      </c>
      <c r="P49" s="32">
        <f t="shared" ref="P49:P61" si="9">N49*(1+$E$45)</f>
        <v>0.68345386019882493</v>
      </c>
      <c r="Q49" s="69"/>
      <c r="R49" s="110" t="s">
        <v>79</v>
      </c>
      <c r="S49" s="100">
        <f>('LA-Ref 0.5'!P6+'LA-Ref 0.5'!P7)*0.65</f>
        <v>42.364846282241693</v>
      </c>
      <c r="T49" s="100">
        <f>P49+P50</f>
        <v>0.68345386019882493</v>
      </c>
      <c r="U49" s="102">
        <f>(S49-T49)/S49</f>
        <v>0.98386742971647911</v>
      </c>
      <c r="V49" s="30">
        <f>(U49*S49+U51*S51+U52*S52+U53*S53)/S54</f>
        <v>0.97317994247503226</v>
      </c>
    </row>
    <row r="50" spans="1:22" x14ac:dyDescent="0.25">
      <c r="A50" s="1" t="s">
        <v>54</v>
      </c>
      <c r="B50" s="12">
        <f>0.65*'LA-Ref 0.5'!B7+0.35*B7</f>
        <v>11.71</v>
      </c>
      <c r="C50" s="18">
        <f t="shared" ref="C50:C60" si="10">B50*(100-B$39)/B$41</f>
        <v>11.718038178242258</v>
      </c>
      <c r="D50" s="18">
        <f>INDEX(MAC!$H$3:$H$16,MATCH($A50,MAC!$A$3:$A$16,0))</f>
        <v>31.664851266660783</v>
      </c>
      <c r="E50" s="18">
        <f t="shared" ref="E50:E61" si="11">C50*D50/100</f>
        <v>3.7104993605109375</v>
      </c>
      <c r="F50" s="21"/>
      <c r="G50" s="55"/>
      <c r="H50" s="66" t="s">
        <v>35</v>
      </c>
      <c r="I50" s="66">
        <v>94742</v>
      </c>
      <c r="J50" s="66">
        <v>0</v>
      </c>
      <c r="K50" s="81">
        <f>'LA-Ref 0.5'!K7</f>
        <v>3.16</v>
      </c>
      <c r="L50" s="81">
        <f>'LA-Ref 0.5'!L7</f>
        <v>4316.1279999999997</v>
      </c>
      <c r="M50" s="5">
        <f t="shared" ref="M50:M61" si="12">$F$63</f>
        <v>53.600807627975939</v>
      </c>
      <c r="N50" s="6">
        <f>100*J50*K50*(L50*0.00000001^3)^2*M50/INDEX('Reference-aQuartz'!$H$4:$H$17,MATCH($B$44,'Reference-aQuartz'!$A$4:$A$17,0))</f>
        <v>0</v>
      </c>
      <c r="O50" s="32">
        <f t="shared" ref="O50:O61" si="13">P50*100/65</f>
        <v>0</v>
      </c>
      <c r="P50" s="32">
        <f t="shared" si="9"/>
        <v>0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0.5'!B8+0.35*B8</f>
        <v>4.8004999999999995</v>
      </c>
      <c r="C51" s="18">
        <f t="shared" si="10"/>
        <v>4.8037952412170757</v>
      </c>
      <c r="D51" s="18">
        <f>INDEX(MAC!$H$3:$H$16,MATCH($A51,MAC!$A$3:$A$16,0))</f>
        <v>214.68463619455559</v>
      </c>
      <c r="E51" s="18">
        <f t="shared" si="11"/>
        <v>10.313010337138254</v>
      </c>
      <c r="F51" s="21"/>
      <c r="G51" s="55"/>
      <c r="H51" s="66" t="s">
        <v>36</v>
      </c>
      <c r="I51" s="66">
        <v>81096</v>
      </c>
      <c r="J51" s="65">
        <v>2.8350000000000001E-5</v>
      </c>
      <c r="K51" s="81">
        <f>'LA-Ref 0.5'!K8</f>
        <v>3.29</v>
      </c>
      <c r="L51" s="81">
        <f>'LA-Ref 0.5'!L8</f>
        <v>347.22930000000002</v>
      </c>
      <c r="M51" s="5">
        <f t="shared" si="12"/>
        <v>53.600807627975939</v>
      </c>
      <c r="N51" s="6">
        <f>100*J51*K51*(L51*0.00000001^3)^2*M51/INDEX('Reference-aQuartz'!$H$4:$H$17,MATCH($B$44,'Reference-aQuartz'!$A$4:$A$17,0))</f>
        <v>0.69953459515714589</v>
      </c>
      <c r="O51" s="32">
        <f t="shared" si="13"/>
        <v>1.3560209075353904</v>
      </c>
      <c r="P51" s="32">
        <f t="shared" si="9"/>
        <v>0.88141358989800378</v>
      </c>
      <c r="Q51" s="69"/>
      <c r="R51" s="89" t="s">
        <v>80</v>
      </c>
      <c r="S51" s="69">
        <f>'LA-Ref 0.5'!P8*0.65</f>
        <v>6.6266164042793037</v>
      </c>
      <c r="T51" s="69">
        <f>P51</f>
        <v>0.88141358989800378</v>
      </c>
      <c r="U51" s="34">
        <f>(S51-T51)/S51</f>
        <v>0.86698889204922003</v>
      </c>
    </row>
    <row r="52" spans="1:22" x14ac:dyDescent="0.25">
      <c r="A52" s="1" t="s">
        <v>0</v>
      </c>
      <c r="B52" s="12">
        <f>0.65*'LA-Ref 0.5'!B9+0.35*B9</f>
        <v>1.28</v>
      </c>
      <c r="C52" s="18">
        <f t="shared" si="10"/>
        <v>1.2808786394662759</v>
      </c>
      <c r="D52" s="18">
        <f>INDEX(MAC!$H$3:$H$16,MATCH($A52,MAC!$A$3:$A$16,0))</f>
        <v>28.686693628423974</v>
      </c>
      <c r="E52" s="18">
        <f t="shared" si="11"/>
        <v>0.36744173105561584</v>
      </c>
      <c r="F52" s="21"/>
      <c r="G52" s="55"/>
      <c r="H52" s="66" t="s">
        <v>37</v>
      </c>
      <c r="I52" s="66">
        <v>1841</v>
      </c>
      <c r="J52" s="66">
        <v>0</v>
      </c>
      <c r="K52" s="81">
        <f>'LA-Ref 0.5'!K9</f>
        <v>3.04</v>
      </c>
      <c r="L52" s="81">
        <f>'LA-Ref 0.5'!L9</f>
        <v>3541.5859999999998</v>
      </c>
      <c r="M52" s="5">
        <f t="shared" si="12"/>
        <v>53.600807627975939</v>
      </c>
      <c r="N52" s="6">
        <f>100*J52*K52*(L52*0.00000001^3)^2*M52/INDEX('Reference-aQuartz'!$H$4:$H$17,MATCH($B$44,'Reference-aQuartz'!$A$4:$A$17,0))</f>
        <v>0</v>
      </c>
      <c r="O52" s="32">
        <f t="shared" si="13"/>
        <v>0</v>
      </c>
      <c r="P52" s="32">
        <f t="shared" si="9"/>
        <v>0</v>
      </c>
      <c r="Q52" s="69"/>
      <c r="R52" s="89" t="s">
        <v>37</v>
      </c>
      <c r="S52" s="69">
        <f>'LA-Ref 0.5'!P9*0.65</f>
        <v>2.3605659551948133</v>
      </c>
      <c r="T52" s="69">
        <f>P52</f>
        <v>0</v>
      </c>
      <c r="U52" s="34">
        <f t="shared" ref="U52:U53" si="14">(S52-T52)/S52</f>
        <v>1</v>
      </c>
    </row>
    <row r="53" spans="1:22" x14ac:dyDescent="0.25">
      <c r="A53" s="1" t="s">
        <v>1</v>
      </c>
      <c r="B53" s="12">
        <f>0.65*'LA-Ref 0.5'!B10+0.35*B10</f>
        <v>42.575000000000003</v>
      </c>
      <c r="C53" s="18">
        <f t="shared" si="10"/>
        <v>42.604225058809924</v>
      </c>
      <c r="D53" s="18">
        <f>INDEX(MAC!$H$3:$H$16,MATCH($A53,MAC!$A$3:$A$16,0))</f>
        <v>124.77929454143408</v>
      </c>
      <c r="E53" s="18">
        <f t="shared" si="11"/>
        <v>53.161251473227907</v>
      </c>
      <c r="F53" s="21"/>
      <c r="G53" s="55"/>
      <c r="H53" s="66" t="s">
        <v>38</v>
      </c>
      <c r="I53" s="66">
        <v>98836</v>
      </c>
      <c r="J53" s="66">
        <v>0</v>
      </c>
      <c r="K53" s="81">
        <f>'LA-Ref 0.5'!K10</f>
        <v>3.75</v>
      </c>
      <c r="L53" s="81">
        <f>'LA-Ref 0.5'!L10</f>
        <v>430.91660000000002</v>
      </c>
      <c r="M53" s="5">
        <f t="shared" si="12"/>
        <v>53.600807627975939</v>
      </c>
      <c r="N53" s="6">
        <f>100*J53*K53*(L53*0.00000001^3)^2*M53/INDEX('Reference-aQuartz'!$H$4:$H$17,MATCH($B$44,'Reference-aQuartz'!$A$4:$A$17,0))</f>
        <v>0</v>
      </c>
      <c r="O53" s="32">
        <f t="shared" si="13"/>
        <v>0</v>
      </c>
      <c r="P53" s="32">
        <f t="shared" si="9"/>
        <v>0</v>
      </c>
      <c r="Q53" s="69"/>
      <c r="R53" s="89" t="s">
        <v>81</v>
      </c>
      <c r="S53" s="69">
        <f>'LA-Ref 0.5'!P10*0.65</f>
        <v>6.9948801462326609</v>
      </c>
      <c r="T53" s="69">
        <f>P53</f>
        <v>0</v>
      </c>
      <c r="U53" s="34">
        <f t="shared" si="14"/>
        <v>1</v>
      </c>
    </row>
    <row r="54" spans="1:22" x14ac:dyDescent="0.25">
      <c r="A54" s="1" t="s">
        <v>56</v>
      </c>
      <c r="B54" s="12">
        <f>0.65*'LA-Ref 0.5'!B11+0.35*B11</f>
        <v>0.82099999999999995</v>
      </c>
      <c r="C54" s="18">
        <f t="shared" si="10"/>
        <v>0.82156356484516602</v>
      </c>
      <c r="D54" s="18">
        <f>INDEX(MAC!$H$3:$H$16,MATCH($A54,MAC!$A$3:$A$16,0))</f>
        <v>122.32505440840811</v>
      </c>
      <c r="E54" s="18">
        <f t="shared" si="11"/>
        <v>1.0049780776965065</v>
      </c>
      <c r="F54" s="21"/>
      <c r="G54" s="55"/>
      <c r="H54" s="66" t="s">
        <v>40</v>
      </c>
      <c r="I54" s="66">
        <v>202220</v>
      </c>
      <c r="J54" s="66">
        <v>1.193957E-2</v>
      </c>
      <c r="K54" s="66">
        <v>2.2400000000000002</v>
      </c>
      <c r="L54" s="66">
        <v>54.865560000000002</v>
      </c>
      <c r="M54" s="5">
        <f t="shared" si="12"/>
        <v>53.600807627975939</v>
      </c>
      <c r="N54" s="6">
        <f>100*J54*K54*(L54*0.00000001^3)^2*M54/INDEX('Reference-aQuartz'!$H$4:$H$17,MATCH($B$44,'Reference-aQuartz'!$A$4:$A$17,0))</f>
        <v>5.0079945020548378</v>
      </c>
      <c r="O54" s="32">
        <f t="shared" si="13"/>
        <v>9.7078047270601466</v>
      </c>
      <c r="P54" s="32">
        <f t="shared" si="9"/>
        <v>6.3100730725890957</v>
      </c>
      <c r="Q54" s="69">
        <v>7.9</v>
      </c>
      <c r="R54" s="89" t="s">
        <v>84</v>
      </c>
      <c r="S54" s="69">
        <f>SUM(S49:S53)</f>
        <v>58.346908787948472</v>
      </c>
      <c r="T54" s="69">
        <f>SUM(T49:T53)</f>
        <v>1.5648674500968287</v>
      </c>
    </row>
    <row r="55" spans="1:22" x14ac:dyDescent="0.25">
      <c r="A55" s="1" t="s">
        <v>57</v>
      </c>
      <c r="B55" s="12">
        <f>0.65*'LA-Ref 0.5'!B12+0.35*B12</f>
        <v>2.3175000000000003</v>
      </c>
      <c r="C55" s="18">
        <f t="shared" si="10"/>
        <v>2.3190908179399177</v>
      </c>
      <c r="D55" s="18">
        <f>INDEX(MAC!$H$3:$H$16,MATCH($A55,MAC!$A$3:$A$16,0))</f>
        <v>44.261072668681777</v>
      </c>
      <c r="E55" s="18">
        <f t="shared" si="11"/>
        <v>1.0264544721811135</v>
      </c>
      <c r="F55" s="21"/>
      <c r="G55" s="55"/>
      <c r="H55" s="66" t="s">
        <v>25</v>
      </c>
      <c r="I55" s="66">
        <v>73446</v>
      </c>
      <c r="J55" s="65">
        <v>4.0620000000000001E-5</v>
      </c>
      <c r="K55" s="66">
        <v>2.67</v>
      </c>
      <c r="L55" s="66">
        <v>373.62329999999997</v>
      </c>
      <c r="M55" s="5">
        <f t="shared" si="12"/>
        <v>53.600807627975939</v>
      </c>
      <c r="N55" s="6">
        <f>100*J55*K55*(L55*0.00000001^3)^2*M55/INDEX('Reference-aQuartz'!$H$4:$H$17,MATCH($B$44,'Reference-aQuartz'!$A$4:$A$17,0))</f>
        <v>0.94177377082739411</v>
      </c>
      <c r="O55" s="32">
        <f t="shared" si="13"/>
        <v>1.8255922326807947</v>
      </c>
      <c r="P55" s="32">
        <f t="shared" si="9"/>
        <v>1.1866349512425165</v>
      </c>
      <c r="Q55" s="69">
        <v>2.2999999999999998</v>
      </c>
    </row>
    <row r="56" spans="1:22" x14ac:dyDescent="0.25">
      <c r="A56" s="1" t="s">
        <v>14</v>
      </c>
      <c r="B56" s="12">
        <f>0.65*'LA-Ref 0.5'!B13+0.35*B13</f>
        <v>0.1825</v>
      </c>
      <c r="C56" s="18">
        <f t="shared" si="10"/>
        <v>0.18262527476765261</v>
      </c>
      <c r="D56" s="18">
        <f>INDEX(MAC!$H$3:$H$16,MATCH($A56,MAC!$A$3:$A$16,0))</f>
        <v>97.328178229861322</v>
      </c>
      <c r="E56" s="18">
        <f t="shared" si="11"/>
        <v>0.17774585291863487</v>
      </c>
      <c r="F56" s="21"/>
      <c r="G56" s="55"/>
      <c r="H56" s="66" t="s">
        <v>21</v>
      </c>
      <c r="I56" s="66">
        <v>174</v>
      </c>
      <c r="J56" s="66">
        <v>1.2007999999999999E-3</v>
      </c>
      <c r="K56" s="66">
        <v>2.65</v>
      </c>
      <c r="L56" s="66">
        <v>113.1073</v>
      </c>
      <c r="M56" s="5">
        <f t="shared" si="12"/>
        <v>53.600807627975939</v>
      </c>
      <c r="N56" s="6">
        <f>100*J56*K56*(L56*0.00000001^3)^2*M56/INDEX('Reference-aQuartz'!$H$4:$H$17,MATCH($B$44,'Reference-aQuartz'!$A$4:$A$17,0))</f>
        <v>2.5323593317177169</v>
      </c>
      <c r="O56" s="32">
        <f t="shared" si="13"/>
        <v>4.9088811660989586</v>
      </c>
      <c r="P56" s="32">
        <f t="shared" si="9"/>
        <v>3.1907727579643232</v>
      </c>
      <c r="Q56" s="69"/>
    </row>
    <row r="57" spans="1:22" x14ac:dyDescent="0.25">
      <c r="A57" s="1" t="s">
        <v>58</v>
      </c>
      <c r="B57" s="12">
        <f>0.65*'LA-Ref 0.5'!B14+0.35*B14</f>
        <v>0.38600000000000001</v>
      </c>
      <c r="C57" s="18">
        <f t="shared" si="10"/>
        <v>0.38626496471404881</v>
      </c>
      <c r="D57" s="18">
        <f>INDEX(MAC!$H$3:$H$16,MATCH($A57,MAC!$A$3:$A$16,0))</f>
        <v>19.10926020222594</v>
      </c>
      <c r="E57" s="18">
        <f t="shared" si="11"/>
        <v>7.3812377177243801E-2</v>
      </c>
      <c r="F57" s="21"/>
      <c r="G57" s="55"/>
      <c r="H57" s="66" t="s">
        <v>87</v>
      </c>
      <c r="I57" s="66">
        <v>155395</v>
      </c>
      <c r="J57" s="65">
        <v>7.3000000000000004E-6</v>
      </c>
      <c r="K57" s="66">
        <v>1.79</v>
      </c>
      <c r="L57" s="66">
        <v>2331.1370000000002</v>
      </c>
      <c r="M57" s="5">
        <f t="shared" si="12"/>
        <v>53.600807627975939</v>
      </c>
      <c r="N57" s="6">
        <f>100*J57*K57*(L57*0.00000001^3)^2*M57/INDEX('Reference-aQuartz'!$H$4:$H$17,MATCH($B$44,'Reference-aQuartz'!$A$4:$A$17,0))</f>
        <v>4.4171179125202595</v>
      </c>
      <c r="O57" s="32">
        <f t="shared" si="13"/>
        <v>8.5624131842700422</v>
      </c>
      <c r="P57" s="32">
        <f t="shared" si="9"/>
        <v>5.5655685697755271</v>
      </c>
      <c r="Q57" s="69"/>
    </row>
    <row r="58" spans="1:22" x14ac:dyDescent="0.25">
      <c r="A58" s="1" t="s">
        <v>59</v>
      </c>
      <c r="B58" s="12">
        <f>0.65*'LA-Ref 0.5'!B15+0.35*B15</f>
        <v>0.44900000000000001</v>
      </c>
      <c r="C58" s="18">
        <f t="shared" si="10"/>
        <v>0.44930821025027956</v>
      </c>
      <c r="D58" s="18">
        <f>INDEX(MAC!$H$3:$H$16,MATCH($A58,MAC!$A$3:$A$16,0))</f>
        <v>124.47726788956365</v>
      </c>
      <c r="E58" s="18">
        <f t="shared" si="11"/>
        <v>0.55928658452304436</v>
      </c>
      <c r="F58" s="21"/>
      <c r="G58" s="55"/>
      <c r="H58" s="66" t="s">
        <v>88</v>
      </c>
      <c r="I58" s="66">
        <v>81963</v>
      </c>
      <c r="J58" s="82">
        <v>0</v>
      </c>
      <c r="K58" s="66">
        <v>2.14</v>
      </c>
      <c r="L58" s="66">
        <v>182.05549999999999</v>
      </c>
      <c r="M58" s="5">
        <f t="shared" si="12"/>
        <v>53.600807627975939</v>
      </c>
      <c r="N58" s="6">
        <f>100*J58*K58*(L58*0.00000001^3)^2*M58/INDEX('Reference-aQuartz'!$H$4:$H$17,MATCH($B$44,'Reference-aQuartz'!$A$4:$A$17,0))</f>
        <v>0</v>
      </c>
      <c r="O58" s="32">
        <f t="shared" si="13"/>
        <v>0</v>
      </c>
      <c r="P58" s="32">
        <f t="shared" si="9"/>
        <v>0</v>
      </c>
      <c r="Q58" s="69"/>
    </row>
    <row r="59" spans="1:22" x14ac:dyDescent="0.25">
      <c r="A59" s="1" t="s">
        <v>60</v>
      </c>
      <c r="B59" s="12">
        <f>0.65*'LA-Ref 0.5'!B16+0.35*B16</f>
        <v>0.52600000000000002</v>
      </c>
      <c r="C59" s="18">
        <f t="shared" si="10"/>
        <v>0.52636106590567278</v>
      </c>
      <c r="D59" s="18">
        <f>INDEX(MAC!$H$3:$H$16,MATCH($A59,MAC!$A$3:$A$16,0))</f>
        <v>39.431437267071992</v>
      </c>
      <c r="E59" s="18">
        <f t="shared" si="11"/>
        <v>0.20755173350088682</v>
      </c>
      <c r="F59" s="21"/>
      <c r="G59" s="55"/>
      <c r="H59" s="66" t="s">
        <v>89</v>
      </c>
      <c r="I59" s="66">
        <v>59327</v>
      </c>
      <c r="J59" s="65">
        <v>8.5929999999999999E-5</v>
      </c>
      <c r="K59" s="66">
        <v>2.16</v>
      </c>
      <c r="L59" s="66">
        <v>437.16120000000001</v>
      </c>
      <c r="M59" s="5">
        <f t="shared" si="12"/>
        <v>53.600807627975939</v>
      </c>
      <c r="N59" s="6">
        <f>100*J59*K59*(L59*0.00000001^3)^2*M59/INDEX('Reference-aQuartz'!$H$4:$H$17,MATCH($B$44,'Reference-aQuartz'!$A$4:$A$17,0))</f>
        <v>2.2065272141674188</v>
      </c>
      <c r="O59" s="32">
        <f t="shared" si="13"/>
        <v>4.2772681382322277</v>
      </c>
      <c r="P59" s="32">
        <f t="shared" si="9"/>
        <v>2.7802242898509477</v>
      </c>
      <c r="Q59" s="69"/>
    </row>
    <row r="60" spans="1:22" x14ac:dyDescent="0.25">
      <c r="A60" s="19" t="s">
        <v>23</v>
      </c>
      <c r="B60" s="12">
        <f>0.65*'LA-Ref 0.5'!B17+0.35*B17</f>
        <v>4.3749999999999997E-2</v>
      </c>
      <c r="C60" s="18">
        <f t="shared" si="10"/>
        <v>4.3780031622382469E-2</v>
      </c>
      <c r="D60" s="18">
        <f>INDEX(MAC!$H$3:$H$16,MATCH($A60,MAC!$A$3:$A$16,0))</f>
        <v>197.69998688868492</v>
      </c>
      <c r="E60" s="18">
        <f t="shared" si="11"/>
        <v>8.6553116777312256E-2</v>
      </c>
      <c r="F60" s="21"/>
      <c r="G60" s="55"/>
      <c r="H60" s="66" t="s">
        <v>90</v>
      </c>
      <c r="I60" s="66">
        <v>2105252</v>
      </c>
      <c r="J60" s="65">
        <v>2.4399999999999999E-6</v>
      </c>
      <c r="K60" s="66">
        <v>1.81</v>
      </c>
      <c r="L60" s="66">
        <v>1417.0340000000001</v>
      </c>
      <c r="M60" s="5">
        <f t="shared" si="12"/>
        <v>53.600807627975939</v>
      </c>
      <c r="N60" s="6">
        <f>100*J60*K60*(L60*0.00000001^3)^2*M60/INDEX('Reference-aQuartz'!$H$4:$H$17,MATCH($B$44,'Reference-aQuartz'!$A$4:$A$17,0))</f>
        <v>0.55164088822322244</v>
      </c>
      <c r="O60" s="32">
        <f t="shared" si="13"/>
        <v>1.0693346448634775</v>
      </c>
      <c r="P60" s="32">
        <f t="shared" si="9"/>
        <v>0.69506751916126031</v>
      </c>
      <c r="Q60" s="69"/>
    </row>
    <row r="61" spans="1:22" x14ac:dyDescent="0.25">
      <c r="A61" s="1" t="s">
        <v>66</v>
      </c>
      <c r="B61" s="12">
        <f>0.65*'LA-Ref 0.5'!B18+0.35*B18</f>
        <v>2.6920000000000002</v>
      </c>
      <c r="C61" s="18">
        <f>B61</f>
        <v>2.6920000000000002</v>
      </c>
      <c r="D61" s="18">
        <f>INDEX(MAC!$H$3:$H$16,MATCH($A61,MAC!$A$3:$A$16,0))</f>
        <v>9.592279079279237</v>
      </c>
      <c r="E61" s="18">
        <f t="shared" si="11"/>
        <v>0.25822415281419708</v>
      </c>
      <c r="F61" s="21"/>
      <c r="G61" s="55"/>
      <c r="H61" s="66" t="s">
        <v>41</v>
      </c>
      <c r="I61" s="66">
        <v>158098</v>
      </c>
      <c r="J61" s="66">
        <v>4.1676000000000001E-4</v>
      </c>
      <c r="K61" s="66">
        <v>3.14</v>
      </c>
      <c r="L61" s="66">
        <v>167.93870000000001</v>
      </c>
      <c r="M61" s="5">
        <f t="shared" si="12"/>
        <v>53.600807627975939</v>
      </c>
      <c r="N61" s="6">
        <f>100*J61*K61*(L61*0.00000001^3)^2*M61/INDEX('Reference-aQuartz'!$H$4:$H$17,MATCH($B$44,'Reference-aQuartz'!$A$4:$A$17,0))</f>
        <v>2.2958565972687834</v>
      </c>
      <c r="O61" s="32">
        <f t="shared" si="13"/>
        <v>4.4504297116287184</v>
      </c>
      <c r="P61" s="32">
        <f t="shared" si="9"/>
        <v>2.8927793125586669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107" t="s">
        <v>7</v>
      </c>
      <c r="I62" s="108"/>
      <c r="J62" s="108"/>
      <c r="K62" s="108"/>
      <c r="L62" s="108"/>
      <c r="M62" s="109"/>
      <c r="N62" s="6">
        <f>SUM(N49:N61)</f>
        <v>19.195228510507274</v>
      </c>
      <c r="O62" s="31">
        <f t="shared" ref="O62:P62" si="15">SUM(O49:O61)</f>
        <v>37.209212189598716</v>
      </c>
      <c r="P62" s="31">
        <f t="shared" si="15"/>
        <v>24.185987923239164</v>
      </c>
    </row>
    <row r="63" spans="1:22" x14ac:dyDescent="0.25">
      <c r="A63" s="25" t="s">
        <v>7</v>
      </c>
      <c r="B63" s="40">
        <f>SUM(B49:B60)</f>
        <v>97.241249999999994</v>
      </c>
      <c r="C63" s="40">
        <f>SUM(C49:C61)</f>
        <v>100</v>
      </c>
      <c r="D63" s="25" t="s">
        <v>29</v>
      </c>
      <c r="E63" s="56">
        <f>SUM(E49:E61)</f>
        <v>82.496794062169172</v>
      </c>
      <c r="F63" s="57">
        <f>E63*(1-C45)+D62*C45</f>
        <v>53.600807627975939</v>
      </c>
      <c r="H63" s="107" t="s">
        <v>28</v>
      </c>
      <c r="I63" s="108"/>
      <c r="J63" s="108"/>
      <c r="K63" s="108"/>
      <c r="L63" s="108"/>
      <c r="M63" s="109"/>
      <c r="N63" s="6">
        <f>100-N62</f>
        <v>80.804771489492722</v>
      </c>
      <c r="O63" s="31">
        <f>100-O62</f>
        <v>62.790787810401284</v>
      </c>
      <c r="P63" s="31">
        <f>100-P62</f>
        <v>75.814012076760832</v>
      </c>
    </row>
  </sheetData>
  <mergeCells count="14">
    <mergeCell ref="H19:M19"/>
    <mergeCell ref="H18:M18"/>
    <mergeCell ref="T27:T28"/>
    <mergeCell ref="T49:T50"/>
    <mergeCell ref="H63:M63"/>
    <mergeCell ref="H62:M62"/>
    <mergeCell ref="H40:M40"/>
    <mergeCell ref="H41:M41"/>
    <mergeCell ref="S49:S50"/>
    <mergeCell ref="U49:U50"/>
    <mergeCell ref="R49:R50"/>
    <mergeCell ref="R27:R28"/>
    <mergeCell ref="S27:S28"/>
    <mergeCell ref="U27:U2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593CC-E488-4FF0-8B7D-D3CD491ADFA3}">
  <sheetPr>
    <tabColor theme="9"/>
  </sheetPr>
  <dimension ref="A1:AV66"/>
  <sheetViews>
    <sheetView zoomScaleNormal="100" workbookViewId="0">
      <selection activeCell="O22" sqref="O22"/>
    </sheetView>
  </sheetViews>
  <sheetFormatPr defaultColWidth="8.85546875" defaultRowHeight="15" x14ac:dyDescent="0.25"/>
  <cols>
    <col min="1" max="1" width="11.5703125" style="20" customWidth="1"/>
    <col min="2" max="2" width="11" style="20" bestFit="1" customWidth="1"/>
    <col min="3" max="3" width="11.42578125" style="20" customWidth="1"/>
    <col min="4" max="4" width="13.140625" style="20" customWidth="1"/>
    <col min="5" max="5" width="10.5703125" style="20" customWidth="1"/>
    <col min="6" max="7" width="12.28515625" style="20" customWidth="1"/>
    <col min="8" max="8" width="18.5703125" style="20" customWidth="1"/>
    <col min="9" max="9" width="12.7109375" style="20" customWidth="1"/>
    <col min="10" max="10" width="11.7109375" style="20" customWidth="1"/>
    <col min="11" max="12" width="15" style="20" bestFit="1" customWidth="1"/>
    <col min="13" max="13" width="9" style="20" bestFit="1" customWidth="1"/>
    <col min="14" max="14" width="18.28515625" style="20" bestFit="1" customWidth="1"/>
    <col min="15" max="16" width="21.7109375" style="20" bestFit="1" customWidth="1"/>
    <col min="17" max="17" width="28.5703125" style="20" bestFit="1" customWidth="1"/>
    <col min="18" max="18" width="15.42578125" style="20" bestFit="1" customWidth="1"/>
    <col min="19" max="19" width="16.28515625" style="20" bestFit="1" customWidth="1"/>
    <col min="20" max="20" width="15.140625" style="20" bestFit="1" customWidth="1"/>
    <col min="21" max="41" width="8.85546875" style="20"/>
    <col min="42" max="42" width="11.28515625" style="20" bestFit="1" customWidth="1"/>
    <col min="43" max="43" width="8.85546875" style="20"/>
    <col min="44" max="44" width="10" style="20" bestFit="1" customWidth="1"/>
    <col min="45" max="45" width="11.7109375" style="20" bestFit="1" customWidth="1"/>
    <col min="46" max="46" width="10.42578125" style="20" bestFit="1" customWidth="1"/>
    <col min="47" max="16384" width="8.85546875" style="20"/>
  </cols>
  <sheetData>
    <row r="1" spans="1:48" x14ac:dyDescent="0.25">
      <c r="A1" s="42" t="s">
        <v>32</v>
      </c>
      <c r="B1" s="43">
        <v>44687</v>
      </c>
      <c r="H1" s="38" t="s">
        <v>20</v>
      </c>
      <c r="I1" s="38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</row>
    <row r="2" spans="1:48" x14ac:dyDescent="0.25">
      <c r="A2" s="44" t="s">
        <v>72</v>
      </c>
      <c r="B2" s="45"/>
      <c r="D2" s="33"/>
      <c r="E2" s="33"/>
      <c r="F2" s="33"/>
      <c r="G2" s="33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</row>
    <row r="3" spans="1:48" x14ac:dyDescent="0.25">
      <c r="B3" s="33"/>
      <c r="D3" s="33"/>
      <c r="E3" s="33"/>
      <c r="F3" s="33"/>
      <c r="G3" s="33"/>
      <c r="H3" s="46" t="s">
        <v>6</v>
      </c>
      <c r="I3" s="28">
        <v>6.49</v>
      </c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</row>
    <row r="4" spans="1:48" x14ac:dyDescent="0.25">
      <c r="A4" s="25" t="s">
        <v>8</v>
      </c>
      <c r="B4" s="25" t="s">
        <v>30</v>
      </c>
      <c r="C4" s="25" t="s">
        <v>31</v>
      </c>
      <c r="D4" s="25" t="s">
        <v>68</v>
      </c>
      <c r="E4" s="25" t="s">
        <v>69</v>
      </c>
      <c r="H4" s="25" t="s">
        <v>9</v>
      </c>
      <c r="I4" s="25" t="s">
        <v>86</v>
      </c>
      <c r="J4" s="25" t="s">
        <v>2</v>
      </c>
      <c r="K4" s="25" t="s">
        <v>3</v>
      </c>
      <c r="L4" s="25" t="s">
        <v>4</v>
      </c>
      <c r="M4" s="25" t="s">
        <v>5</v>
      </c>
      <c r="N4" s="5" t="s">
        <v>15</v>
      </c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x14ac:dyDescent="0.25">
      <c r="A5" s="25" t="s">
        <v>11</v>
      </c>
      <c r="B5" s="25" t="s">
        <v>93</v>
      </c>
      <c r="C5" s="25" t="s">
        <v>93</v>
      </c>
      <c r="D5" s="25" t="s">
        <v>13</v>
      </c>
      <c r="E5" s="25" t="s">
        <v>13</v>
      </c>
      <c r="H5" s="25" t="s">
        <v>11</v>
      </c>
      <c r="I5" s="25" t="s">
        <v>11</v>
      </c>
      <c r="J5" s="25" t="s">
        <v>11</v>
      </c>
      <c r="K5" s="25" t="s">
        <v>16</v>
      </c>
      <c r="L5" s="25" t="s">
        <v>19</v>
      </c>
      <c r="M5" s="25" t="s">
        <v>13</v>
      </c>
      <c r="N5" s="5" t="s">
        <v>12</v>
      </c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</row>
    <row r="6" spans="1:48" x14ac:dyDescent="0.25">
      <c r="A6" s="1" t="s">
        <v>53</v>
      </c>
      <c r="B6" s="12">
        <v>25.5</v>
      </c>
      <c r="C6" s="18">
        <f t="shared" ref="C6:C17" si="0">B6*(100-B$18)/B$19</f>
        <v>25.562258083725364</v>
      </c>
      <c r="D6" s="18">
        <f>INDEX(MAC!$H$3:$H$16,MATCH('LA-BA1'!$A6,MAC!$A$3:$A$16,0))</f>
        <v>35.900659077291785</v>
      </c>
      <c r="E6" s="18">
        <f>C6*D6/100</f>
        <v>9.1770191270957024</v>
      </c>
      <c r="F6" s="39"/>
      <c r="G6" s="39"/>
      <c r="H6" s="25" t="s">
        <v>25</v>
      </c>
      <c r="I6" s="25">
        <v>73446</v>
      </c>
      <c r="J6" s="25">
        <v>3.6184999999999999E-4</v>
      </c>
      <c r="K6" s="25">
        <v>2.7</v>
      </c>
      <c r="L6" s="25">
        <v>369.30470000000003</v>
      </c>
      <c r="M6" s="5">
        <f t="shared" ref="M6:M15" si="1">$E$19</f>
        <v>70.803661941142138</v>
      </c>
      <c r="N6" s="6">
        <f>100*J6*K6*(L6*0.00000001^3)^2*M6/INDEX('Reference-aQuartz'!$H$4:$H$17,MATCH($B$1,'Reference-aQuartz'!$A$4:$A$17,0))</f>
        <v>16.276528111518974</v>
      </c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</row>
    <row r="7" spans="1:48" x14ac:dyDescent="0.25">
      <c r="A7" s="1" t="s">
        <v>54</v>
      </c>
      <c r="B7" s="12">
        <v>4.8</v>
      </c>
      <c r="C7" s="18">
        <f t="shared" si="0"/>
        <v>4.8117191687012451</v>
      </c>
      <c r="D7" s="18">
        <f>INDEX(MAC!$H$3:$H$16,MATCH('LA-BA1'!$A7,MAC!$A$3:$A$16,0))</f>
        <v>31.664851266660783</v>
      </c>
      <c r="E7" s="18">
        <f t="shared" ref="E7:E10" si="2">C7*D7/100</f>
        <v>1.5236237181386558</v>
      </c>
      <c r="F7" s="39"/>
      <c r="G7" s="39"/>
      <c r="H7" s="25" t="s">
        <v>21</v>
      </c>
      <c r="I7" s="25">
        <v>174</v>
      </c>
      <c r="J7" s="25">
        <v>9.9335000000000005E-4</v>
      </c>
      <c r="K7" s="25">
        <v>2.64</v>
      </c>
      <c r="L7" s="25">
        <v>113.29170000000001</v>
      </c>
      <c r="M7" s="5">
        <f t="shared" si="1"/>
        <v>70.803661941142138</v>
      </c>
      <c r="N7" s="6">
        <f>100*J7*K7*(L7*0.00000001^3)^2*M7/INDEX('Reference-aQuartz'!$H$4:$H$17,MATCH($B$1,'Reference-aQuartz'!$A$4:$A$17,0))</f>
        <v>4.111517775671385</v>
      </c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</row>
    <row r="8" spans="1:48" x14ac:dyDescent="0.25">
      <c r="A8" s="1" t="s">
        <v>55</v>
      </c>
      <c r="B8" s="12">
        <v>1.8</v>
      </c>
      <c r="C8" s="18">
        <f t="shared" si="0"/>
        <v>1.8043946882629669</v>
      </c>
      <c r="D8" s="18">
        <f>INDEX(MAC!$H$3:$H$16,MATCH('LA-BA1'!$A8,MAC!$A$3:$A$16,0))</f>
        <v>214.68463619455559</v>
      </c>
      <c r="E8" s="18">
        <f t="shared" si="2"/>
        <v>3.873758172011236</v>
      </c>
      <c r="F8" s="39"/>
      <c r="G8" s="39"/>
      <c r="H8" s="25" t="s">
        <v>44</v>
      </c>
      <c r="I8" s="25">
        <v>15876</v>
      </c>
      <c r="J8" s="25">
        <v>1.2294000000000001E-4</v>
      </c>
      <c r="K8" s="25">
        <v>2.95</v>
      </c>
      <c r="L8" s="25">
        <v>306.37569999999999</v>
      </c>
      <c r="M8" s="5">
        <f t="shared" si="1"/>
        <v>70.803661941142138</v>
      </c>
      <c r="N8" s="6">
        <f>100*J8*K8*(L8*0.00000001^3)^2*M8/INDEX('Reference-aQuartz'!$H$4:$H$17,MATCH($B$1,'Reference-aQuartz'!$A$4:$A$17,0))</f>
        <v>4.1583746987489176</v>
      </c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  <row r="9" spans="1:48" x14ac:dyDescent="0.25">
      <c r="A9" s="1" t="s">
        <v>0</v>
      </c>
      <c r="B9" s="12">
        <v>3.5</v>
      </c>
      <c r="C9" s="18">
        <f t="shared" si="0"/>
        <v>3.5085452271779918</v>
      </c>
      <c r="D9" s="18">
        <f>INDEX(MAC!$H$3:$H$16,MATCH('LA-BA1'!$A9,MAC!$A$3:$A$16,0))</f>
        <v>28.686693628423974</v>
      </c>
      <c r="E9" s="18">
        <f t="shared" si="2"/>
        <v>1.0064856201352423</v>
      </c>
      <c r="F9" s="39"/>
      <c r="G9" s="39"/>
      <c r="H9" s="25" t="s">
        <v>33</v>
      </c>
      <c r="I9" s="25">
        <v>100495</v>
      </c>
      <c r="J9" s="25">
        <f>0.00007801</f>
        <v>7.8009999999999993E-5</v>
      </c>
      <c r="K9" s="25">
        <v>2.56</v>
      </c>
      <c r="L9" s="25">
        <v>361.6189</v>
      </c>
      <c r="M9" s="5">
        <f t="shared" si="1"/>
        <v>70.803661941142138</v>
      </c>
      <c r="N9" s="6">
        <f>100*J9*K9*(L9*0.00000001^3)^2*M9/INDEX('Reference-aQuartz'!$H$4:$H$17,MATCH($B$1,'Reference-aQuartz'!$A$4:$A$17,0))</f>
        <v>3.1900114853826551</v>
      </c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</row>
    <row r="10" spans="1:48" x14ac:dyDescent="0.25">
      <c r="A10" s="1" t="s">
        <v>1</v>
      </c>
      <c r="B10" s="12">
        <v>34.1</v>
      </c>
      <c r="C10" s="18">
        <f t="shared" si="0"/>
        <v>34.183254927648427</v>
      </c>
      <c r="D10" s="18">
        <f>INDEX(MAC!$H$3:$H$16,MATCH('LA-BA1'!$A10,MAC!$A$3:$A$16,0))</f>
        <v>124.77929454143408</v>
      </c>
      <c r="E10" s="18">
        <f t="shared" si="2"/>
        <v>42.653624350019712</v>
      </c>
      <c r="F10" s="39"/>
      <c r="G10" s="39"/>
      <c r="H10" s="25" t="s">
        <v>107</v>
      </c>
      <c r="I10" s="25">
        <v>69965</v>
      </c>
      <c r="J10" s="65">
        <v>6.4799999999999998E-6</v>
      </c>
      <c r="K10" s="25">
        <v>2.5099999999999998</v>
      </c>
      <c r="L10" s="25">
        <v>735.61990000000003</v>
      </c>
      <c r="M10" s="5">
        <f t="shared" si="1"/>
        <v>70.803661941142138</v>
      </c>
      <c r="N10" s="6">
        <f>100*J10*K10*(L10*0.00000001^3)^2*M10/INDEX('Reference-aQuartz'!$H$4:$H$17,MATCH($B$1,'Reference-aQuartz'!$A$4:$A$17,0))</f>
        <v>1.0751162541824073</v>
      </c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</row>
    <row r="11" spans="1:48" x14ac:dyDescent="0.25">
      <c r="A11" s="1" t="s">
        <v>56</v>
      </c>
      <c r="B11" s="12">
        <v>4.93</v>
      </c>
      <c r="C11" s="18">
        <f t="shared" si="0"/>
        <v>4.9420365628535707</v>
      </c>
      <c r="D11" s="18">
        <f>INDEX(MAC!$H$3:$H$16,MATCH('LA-BA1'!$A11,MAC!$A$3:$A$16,0))</f>
        <v>122.32505440840811</v>
      </c>
      <c r="E11" s="18">
        <f t="shared" ref="E11:E18" si="3">C11*D11/100</f>
        <v>6.0453489143940518</v>
      </c>
      <c r="F11" s="39"/>
      <c r="G11" s="39"/>
      <c r="H11" s="25" t="s">
        <v>40</v>
      </c>
      <c r="I11" s="25">
        <v>202220</v>
      </c>
      <c r="J11" s="25">
        <v>2.0584700000000002E-3</v>
      </c>
      <c r="K11" s="25">
        <v>2.2200000000000002</v>
      </c>
      <c r="L11" s="25">
        <v>55.324339999999999</v>
      </c>
      <c r="M11" s="5">
        <f t="shared" si="1"/>
        <v>70.803661941142138</v>
      </c>
      <c r="N11" s="6">
        <f>100*J11*K11*(L11*0.00000001^3)^2*M11/INDEX('Reference-aQuartz'!$H$4:$H$17,MATCH($B$1,'Reference-aQuartz'!$A$4:$A$17,0))</f>
        <v>1.7085581392667337</v>
      </c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</row>
    <row r="12" spans="1:48" x14ac:dyDescent="0.25">
      <c r="A12" s="1" t="s">
        <v>57</v>
      </c>
      <c r="B12" s="12">
        <v>4.58</v>
      </c>
      <c r="C12" s="18">
        <f t="shared" si="0"/>
        <v>4.5911820401357719</v>
      </c>
      <c r="D12" s="18">
        <f>INDEX(MAC!$H$3:$H$16,MATCH('LA-BA1'!$A12,MAC!$A$3:$A$16,0))</f>
        <v>44.261072668681777</v>
      </c>
      <c r="E12" s="18">
        <f t="shared" si="3"/>
        <v>2.0321064191359604</v>
      </c>
      <c r="F12" s="39"/>
      <c r="G12" s="39"/>
      <c r="H12" s="25" t="s">
        <v>104</v>
      </c>
      <c r="I12" s="25">
        <v>154214</v>
      </c>
      <c r="J12" s="25">
        <f>0.00004669</f>
        <v>4.6690000000000002E-5</v>
      </c>
      <c r="K12" s="25">
        <v>1.98</v>
      </c>
      <c r="L12" s="25">
        <v>249.33189999999999</v>
      </c>
      <c r="M12" s="5">
        <f t="shared" si="1"/>
        <v>70.803661941142138</v>
      </c>
      <c r="N12" s="6">
        <f>100*J12*K12*(L12*0.00000001^3)^2*M12/INDEX('Reference-aQuartz'!$H$4:$H$17,MATCH($B$1,'Reference-aQuartz'!$A$4:$A$17,0))</f>
        <v>0.70201197294281836</v>
      </c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</row>
    <row r="13" spans="1:48" x14ac:dyDescent="0.25">
      <c r="A13" s="1" t="s">
        <v>14</v>
      </c>
      <c r="B13" s="12">
        <v>7.0000000000000007E-2</v>
      </c>
      <c r="C13" s="18">
        <f t="shared" si="0"/>
        <v>7.0170904543559828E-2</v>
      </c>
      <c r="D13" s="18">
        <f>INDEX(MAC!$H$3:$H$16,MATCH('LA-BA1'!$A13,MAC!$A$3:$A$16,0))</f>
        <v>97.328178229861322</v>
      </c>
      <c r="E13" s="18">
        <f t="shared" si="3"/>
        <v>6.8296063039661764E-2</v>
      </c>
      <c r="F13" s="39"/>
      <c r="G13" s="39"/>
      <c r="H13" s="25" t="s">
        <v>105</v>
      </c>
      <c r="I13" s="25">
        <v>1704</v>
      </c>
      <c r="J13" s="25">
        <f>0.00003789</f>
        <v>3.7889999999999998E-5</v>
      </c>
      <c r="K13" s="25">
        <v>1.99</v>
      </c>
      <c r="L13" s="25">
        <v>692.32590000000005</v>
      </c>
      <c r="M13" s="5">
        <f t="shared" si="1"/>
        <v>70.803661941142138</v>
      </c>
      <c r="N13" s="6">
        <f>100*J13*K13*(L13*0.00000001^3)^2*M13/INDEX('Reference-aQuartz'!$H$4:$H$17,MATCH($B$1,'Reference-aQuartz'!$A$4:$A$17,0))</f>
        <v>4.4146736206618726</v>
      </c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1:48" x14ac:dyDescent="0.25">
      <c r="A14" s="1" t="s">
        <v>58</v>
      </c>
      <c r="B14" s="12">
        <v>0.87</v>
      </c>
      <c r="C14" s="18">
        <f t="shared" si="0"/>
        <v>0.87212409932710078</v>
      </c>
      <c r="D14" s="18">
        <f>INDEX(MAC!$H$3:$H$16,MATCH('LA-BA1'!$A14,MAC!$A$3:$A$16,0))</f>
        <v>19.10926020222594</v>
      </c>
      <c r="E14" s="18">
        <f t="shared" si="3"/>
        <v>0.16665646342673507</v>
      </c>
      <c r="F14" s="39"/>
      <c r="G14" s="39"/>
      <c r="H14" s="25" t="s">
        <v>48</v>
      </c>
      <c r="I14" s="25">
        <v>86327</v>
      </c>
      <c r="J14" s="25">
        <f>0.00000991</f>
        <v>9.91E-6</v>
      </c>
      <c r="K14" s="25">
        <v>2.69</v>
      </c>
      <c r="L14" s="25">
        <v>675.31880000000001</v>
      </c>
      <c r="M14" s="5">
        <f t="shared" si="1"/>
        <v>70.803661941142138</v>
      </c>
      <c r="N14" s="6">
        <f>100*J14*K14*(L14*0.00000001^3)^2*M14/INDEX('Reference-aQuartz'!$H$4:$H$17,MATCH($B$1,'Reference-aQuartz'!$A$4:$A$17,0))</f>
        <v>1.4850578663422114</v>
      </c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</row>
    <row r="15" spans="1:48" x14ac:dyDescent="0.25">
      <c r="A15" s="1" t="s">
        <v>59</v>
      </c>
      <c r="B15" s="12">
        <v>0.28000000000000003</v>
      </c>
      <c r="C15" s="18">
        <f t="shared" si="0"/>
        <v>0.28068361817423931</v>
      </c>
      <c r="D15" s="18">
        <f>INDEX(MAC!$H$3:$H$16,MATCH('LA-BA1'!$A15,MAC!$A$3:$A$16,0))</f>
        <v>124.47726788956365</v>
      </c>
      <c r="E15" s="18">
        <f t="shared" si="3"/>
        <v>0.34938729931686779</v>
      </c>
      <c r="F15" s="39"/>
      <c r="G15" s="39"/>
      <c r="H15" s="25" t="s">
        <v>106</v>
      </c>
      <c r="I15" s="25">
        <v>41411</v>
      </c>
      <c r="J15" s="25">
        <f>0.00005276</f>
        <v>5.2760000000000003E-5</v>
      </c>
      <c r="K15" s="25">
        <v>2.16</v>
      </c>
      <c r="L15" s="25">
        <v>179.18379999999999</v>
      </c>
      <c r="M15" s="5">
        <f t="shared" si="1"/>
        <v>70.803661941142138</v>
      </c>
      <c r="N15" s="6">
        <f>100*J15*K15*(L15*0.00000001^3)^2*M15/INDEX('Reference-aQuartz'!$H$4:$H$17,MATCH($B$1,'Reference-aQuartz'!$A$4:$A$17,0))</f>
        <v>0.44694675147206109</v>
      </c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</row>
    <row r="16" spans="1:48" x14ac:dyDescent="0.25">
      <c r="A16" s="1" t="s">
        <v>60</v>
      </c>
      <c r="B16" s="18">
        <v>2.91</v>
      </c>
      <c r="C16" s="18">
        <f t="shared" si="0"/>
        <v>2.9171047460251303</v>
      </c>
      <c r="D16" s="18">
        <f>INDEX(MAC!$H$3:$H$16,MATCH('LA-BA1'!$A16,MAC!$A$3:$A$16,0))</f>
        <v>39.431437267071992</v>
      </c>
      <c r="E16" s="18">
        <f t="shared" si="3"/>
        <v>1.150256327943679</v>
      </c>
      <c r="F16" s="39"/>
      <c r="G16" s="39"/>
      <c r="H16" s="25"/>
      <c r="I16" s="25"/>
      <c r="J16" s="25"/>
      <c r="K16" s="25"/>
      <c r="L16" s="25"/>
      <c r="M16" s="5"/>
      <c r="N16" s="6">
        <f>100*J16*K16*(L16*0.00000001^3)^2*M16/INDEX('Reference-aQuartz'!$H$4:$H$17,MATCH($B$1,'Reference-aQuartz'!$A$4:$A$17,0))</f>
        <v>0</v>
      </c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</row>
    <row r="17" spans="1:48" x14ac:dyDescent="0.25">
      <c r="A17" s="19" t="s">
        <v>23</v>
      </c>
      <c r="B17" s="18">
        <v>0.625</v>
      </c>
      <c r="C17" s="18">
        <f t="shared" si="0"/>
        <v>0.62652593342464136</v>
      </c>
      <c r="D17" s="18">
        <f>INDEX(MAC!$H$3:$H$16,MATCH('LA-BA1'!$A17,MAC!$A$3:$A$16,0))</f>
        <v>197.69998688868492</v>
      </c>
      <c r="E17" s="18">
        <f t="shared" si="3"/>
        <v>1.2386416882347269</v>
      </c>
      <c r="H17" s="21"/>
      <c r="I17" s="21"/>
      <c r="J17" s="21"/>
      <c r="K17" s="21"/>
      <c r="L17" s="21"/>
      <c r="M17" s="5"/>
      <c r="N17" s="37">
        <f>100*J17*K17*(L17*0.00000001^3)^2*M17/INDEX('Reference-aQuartz'!$H$4:$H$17,MATCH($B$1,'Reference-aQuartz'!$A$4:$A$17,0))</f>
        <v>0</v>
      </c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</row>
    <row r="18" spans="1:48" x14ac:dyDescent="0.25">
      <c r="A18" s="1" t="s">
        <v>66</v>
      </c>
      <c r="B18" s="12">
        <v>15.83</v>
      </c>
      <c r="C18" s="18">
        <f>B18</f>
        <v>15.83</v>
      </c>
      <c r="D18" s="18">
        <f>INDEX(MAC!$H$3:$H$16,MATCH('LA-BA1'!$A18,MAC!$A$3:$A$16,0))</f>
        <v>9.592279079279237</v>
      </c>
      <c r="E18" s="18">
        <f t="shared" si="3"/>
        <v>1.5184577782499034</v>
      </c>
      <c r="H18" s="104" t="s">
        <v>7</v>
      </c>
      <c r="I18" s="105"/>
      <c r="J18" s="105"/>
      <c r="K18" s="105"/>
      <c r="L18" s="105"/>
      <c r="M18" s="106"/>
      <c r="N18" s="37">
        <f>SUM(N6:N17)</f>
        <v>37.568796676190033</v>
      </c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</row>
    <row r="19" spans="1:48" x14ac:dyDescent="0.25">
      <c r="A19" s="25" t="s">
        <v>7</v>
      </c>
      <c r="B19" s="40">
        <f>SUM(B6:B17)</f>
        <v>83.964999999999989</v>
      </c>
      <c r="C19" s="40">
        <f>SUM(C6:C18)</f>
        <v>100</v>
      </c>
      <c r="D19" s="25" t="s">
        <v>29</v>
      </c>
      <c r="E19" s="41">
        <f>SUM(E6:E18)</f>
        <v>70.803661941142138</v>
      </c>
      <c r="H19" s="107" t="s">
        <v>28</v>
      </c>
      <c r="I19" s="108"/>
      <c r="J19" s="108"/>
      <c r="K19" s="108"/>
      <c r="L19" s="108"/>
      <c r="M19" s="109"/>
      <c r="N19" s="37">
        <f>100-N18</f>
        <v>62.431203323809967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</row>
    <row r="22" spans="1:48" x14ac:dyDescent="0.25">
      <c r="A22" s="42" t="s">
        <v>32</v>
      </c>
      <c r="B22" s="43">
        <v>44734</v>
      </c>
      <c r="C22" s="47" t="s">
        <v>85</v>
      </c>
      <c r="D22" s="48"/>
      <c r="E22" s="48" t="s">
        <v>77</v>
      </c>
      <c r="F22" s="49"/>
    </row>
    <row r="23" spans="1:48" x14ac:dyDescent="0.25">
      <c r="A23" s="44" t="s">
        <v>73</v>
      </c>
      <c r="B23" s="50"/>
      <c r="C23" s="51">
        <v>0.4</v>
      </c>
      <c r="D23" s="52"/>
      <c r="E23" s="52">
        <v>0.26</v>
      </c>
      <c r="F23" s="53"/>
    </row>
    <row r="24" spans="1:48" x14ac:dyDescent="0.25">
      <c r="H24" s="46" t="s">
        <v>6</v>
      </c>
      <c r="I24" s="28">
        <v>5.26</v>
      </c>
      <c r="J24" s="33"/>
    </row>
    <row r="25" spans="1:48" x14ac:dyDescent="0.25">
      <c r="A25" s="25" t="s">
        <v>8</v>
      </c>
      <c r="B25" s="25" t="s">
        <v>30</v>
      </c>
      <c r="C25" s="25" t="s">
        <v>31</v>
      </c>
      <c r="D25" s="25" t="s">
        <v>68</v>
      </c>
      <c r="E25" s="25" t="s">
        <v>69</v>
      </c>
      <c r="F25" s="25" t="s">
        <v>74</v>
      </c>
      <c r="G25" s="54"/>
      <c r="H25" s="25" t="s">
        <v>9</v>
      </c>
      <c r="I25" s="25" t="s">
        <v>86</v>
      </c>
      <c r="J25" s="25" t="s">
        <v>2</v>
      </c>
      <c r="K25" s="25" t="s">
        <v>3</v>
      </c>
      <c r="L25" s="25" t="s">
        <v>4</v>
      </c>
      <c r="M25" s="25" t="s">
        <v>5</v>
      </c>
      <c r="N25" s="5" t="s">
        <v>15</v>
      </c>
      <c r="O25" s="5" t="s">
        <v>15</v>
      </c>
      <c r="P25" s="5" t="s">
        <v>15</v>
      </c>
      <c r="Q25" s="88" t="s">
        <v>96</v>
      </c>
      <c r="R25" s="89"/>
      <c r="S25" s="88" t="s">
        <v>122</v>
      </c>
      <c r="T25" s="88" t="s">
        <v>123</v>
      </c>
      <c r="U25" s="88" t="s">
        <v>82</v>
      </c>
      <c r="V25" s="36" t="s">
        <v>83</v>
      </c>
    </row>
    <row r="26" spans="1:48" x14ac:dyDescent="0.25">
      <c r="A26" s="25" t="s">
        <v>11</v>
      </c>
      <c r="B26" s="25" t="s">
        <v>93</v>
      </c>
      <c r="C26" s="25" t="s">
        <v>93</v>
      </c>
      <c r="D26" s="25" t="s">
        <v>13</v>
      </c>
      <c r="E26" s="25" t="s">
        <v>13</v>
      </c>
      <c r="F26" s="25" t="s">
        <v>13</v>
      </c>
      <c r="G26" s="54"/>
      <c r="H26" s="25" t="s">
        <v>11</v>
      </c>
      <c r="I26" s="25" t="s">
        <v>11</v>
      </c>
      <c r="J26" s="25" t="s">
        <v>11</v>
      </c>
      <c r="K26" s="25" t="s">
        <v>16</v>
      </c>
      <c r="L26" s="25" t="s">
        <v>19</v>
      </c>
      <c r="M26" s="25" t="s">
        <v>13</v>
      </c>
      <c r="N26" s="5" t="s">
        <v>75</v>
      </c>
      <c r="O26" s="88" t="s">
        <v>113</v>
      </c>
      <c r="P26" s="68" t="s">
        <v>76</v>
      </c>
      <c r="Q26" s="88" t="s">
        <v>76</v>
      </c>
      <c r="R26" s="89"/>
      <c r="S26" s="88" t="s">
        <v>76</v>
      </c>
      <c r="T26" s="88" t="s">
        <v>76</v>
      </c>
      <c r="U26" s="88" t="s">
        <v>11</v>
      </c>
      <c r="V26" s="36" t="s">
        <v>11</v>
      </c>
    </row>
    <row r="27" spans="1:48" x14ac:dyDescent="0.25">
      <c r="A27" s="1" t="s">
        <v>53</v>
      </c>
      <c r="B27" s="12">
        <f>0.65*'LA-Ref 0.5'!B6+0.35*B6</f>
        <v>21.405000000000001</v>
      </c>
      <c r="C27" s="18">
        <f>B27*(100-B$39)/B$41</f>
        <v>21.399787489650468</v>
      </c>
      <c r="D27" s="18">
        <f>INDEX(MAC!$H$3:$H$16,MATCH($A27,MAC!$A$3:$A$16,0))</f>
        <v>35.900659077291785</v>
      </c>
      <c r="E27" s="18">
        <f>C27*D27/100</f>
        <v>7.6826647499243519</v>
      </c>
      <c r="F27" s="21"/>
      <c r="G27" s="55"/>
      <c r="H27" s="85" t="s">
        <v>34</v>
      </c>
      <c r="I27" s="85"/>
      <c r="J27" s="65">
        <v>5.7000000000000005E-7</v>
      </c>
      <c r="K27" s="90">
        <f>'LA-Ref 0.5'!K6</f>
        <v>3.15</v>
      </c>
      <c r="L27" s="90">
        <f>'LA-Ref 0.5'!L6</f>
        <v>2166.0790000000002</v>
      </c>
      <c r="M27" s="5">
        <f>$F$41</f>
        <v>57.367726967016665</v>
      </c>
      <c r="N27" s="6">
        <f>100*J27*K27*(L27*0.00000001^3)^2*M27/INDEX('Reference-aQuartz'!$H$4:$H$17,MATCH($B$22,'Reference-aQuartz'!$A$4:$A$17,0))</f>
        <v>0.56086431484594856</v>
      </c>
      <c r="O27" s="32">
        <f>P27*100/65</f>
        <v>1.0872139026244543</v>
      </c>
      <c r="P27" s="32">
        <f t="shared" ref="P27:P39" si="4">N27*(1+$E$23)</f>
        <v>0.70668903670589522</v>
      </c>
      <c r="Q27" s="69"/>
      <c r="R27" s="110" t="s">
        <v>79</v>
      </c>
      <c r="S27" s="100">
        <f>('LA-Ref 0.5'!P6+'LA-Ref 0.5'!P7)*0.65</f>
        <v>42.364846282241693</v>
      </c>
      <c r="T27" s="100">
        <f>P27+P28</f>
        <v>0.70668903670589522</v>
      </c>
      <c r="U27" s="102">
        <f>(S27-T27)/S27</f>
        <v>0.98331897554878833</v>
      </c>
      <c r="V27" s="30">
        <f>(U27*S27+U29*S29+U30*S30+U31*S31)/S32</f>
        <v>0.93921174776852334</v>
      </c>
    </row>
    <row r="28" spans="1:48" x14ac:dyDescent="0.25">
      <c r="A28" s="1" t="s">
        <v>54</v>
      </c>
      <c r="B28" s="12">
        <f>0.65*'LA-Ref 0.5'!B7+0.35*B7</f>
        <v>5.0600000000000005</v>
      </c>
      <c r="C28" s="18">
        <f t="shared" ref="C28:C38" si="5">B28*(100-B$39)/B$41</f>
        <v>5.058767797132977</v>
      </c>
      <c r="D28" s="18">
        <f>INDEX(MAC!$H$3:$H$16,MATCH($A28,MAC!$A$3:$A$16,0))</f>
        <v>31.664851266660783</v>
      </c>
      <c r="E28" s="18">
        <f t="shared" ref="E28:E39" si="6">C28*D28/100</f>
        <v>1.6018512988878895</v>
      </c>
      <c r="F28" s="21"/>
      <c r="G28" s="55"/>
      <c r="H28" s="85" t="s">
        <v>35</v>
      </c>
      <c r="I28" s="85">
        <v>94742</v>
      </c>
      <c r="J28" s="90">
        <v>0</v>
      </c>
      <c r="K28" s="90">
        <f>'LA-Ref 0.5'!K7</f>
        <v>3.16</v>
      </c>
      <c r="L28" s="90">
        <f>'LA-Ref 0.5'!L7</f>
        <v>4316.1279999999997</v>
      </c>
      <c r="M28" s="5">
        <f t="shared" ref="M28:M42" si="7">$F$41</f>
        <v>57.367726967016665</v>
      </c>
      <c r="N28" s="6">
        <f>100*J28*K28*(L28*0.00000001^3)^2*M28/INDEX('Reference-aQuartz'!$H$4:$H$17,MATCH($B$22,'Reference-aQuartz'!$A$4:$A$17,0))</f>
        <v>0</v>
      </c>
      <c r="O28" s="32">
        <f t="shared" ref="O28:O39" si="8">P28*100/65</f>
        <v>0</v>
      </c>
      <c r="P28" s="32">
        <f t="shared" si="4"/>
        <v>0</v>
      </c>
      <c r="Q28" s="69"/>
      <c r="R28" s="111"/>
      <c r="S28" s="101"/>
      <c r="T28" s="101"/>
      <c r="U28" s="103"/>
    </row>
    <row r="29" spans="1:48" x14ac:dyDescent="0.25">
      <c r="A29" s="1" t="s">
        <v>55</v>
      </c>
      <c r="B29" s="12">
        <f>0.65*'LA-Ref 0.5'!B8+0.35*B8</f>
        <v>3.0154999999999998</v>
      </c>
      <c r="C29" s="18">
        <f t="shared" si="5"/>
        <v>3.0147656704060259</v>
      </c>
      <c r="D29" s="18">
        <f>INDEX(MAC!$H$3:$H$16,MATCH($A29,MAC!$A$3:$A$16,0))</f>
        <v>214.68463619455559</v>
      </c>
      <c r="E29" s="18">
        <f t="shared" si="6"/>
        <v>6.4722387116295321</v>
      </c>
      <c r="F29" s="21"/>
      <c r="G29" s="55"/>
      <c r="H29" s="85" t="s">
        <v>36</v>
      </c>
      <c r="I29" s="85">
        <v>81096</v>
      </c>
      <c r="J29" s="65">
        <v>6.1389999999999993E-5</v>
      </c>
      <c r="K29" s="90">
        <f>'LA-Ref 0.5'!K8</f>
        <v>3.29</v>
      </c>
      <c r="L29" s="90">
        <f>'LA-Ref 0.5'!L8</f>
        <v>347.22930000000002</v>
      </c>
      <c r="M29" s="5">
        <f t="shared" si="7"/>
        <v>57.367726967016665</v>
      </c>
      <c r="N29" s="6">
        <f>100*J29*K29*(L29*0.00000001^3)^2*M29/INDEX('Reference-aQuartz'!$H$4:$H$17,MATCH($B$22,'Reference-aQuartz'!$A$4:$A$17,0))</f>
        <v>1.6212503260190974</v>
      </c>
      <c r="O29" s="32">
        <f t="shared" si="8"/>
        <v>3.1427314012062499</v>
      </c>
      <c r="P29" s="32">
        <f t="shared" si="4"/>
        <v>2.0427754107840626</v>
      </c>
      <c r="Q29" s="69"/>
      <c r="R29" s="89" t="s">
        <v>80</v>
      </c>
      <c r="S29" s="69">
        <f>'LA-Ref 0.5'!P8*0.65</f>
        <v>6.6266164042793037</v>
      </c>
      <c r="T29" s="69">
        <f>P29</f>
        <v>2.0427754107840626</v>
      </c>
      <c r="U29" s="34">
        <f>(S29-T29)/S29</f>
        <v>0.69173175476629534</v>
      </c>
    </row>
    <row r="30" spans="1:48" x14ac:dyDescent="0.25">
      <c r="A30" s="1" t="s">
        <v>0</v>
      </c>
      <c r="B30" s="12">
        <f>0.65*'LA-Ref 0.5'!B9+0.35*B9</f>
        <v>1.875</v>
      </c>
      <c r="C30" s="18">
        <f t="shared" si="5"/>
        <v>1.8745434030878125</v>
      </c>
      <c r="D30" s="18">
        <f>INDEX(MAC!$H$3:$H$16,MATCH($A30,MAC!$A$3:$A$16,0))</f>
        <v>28.686693628423974</v>
      </c>
      <c r="E30" s="18">
        <f t="shared" si="6"/>
        <v>0.53774452297563347</v>
      </c>
      <c r="F30" s="21"/>
      <c r="G30" s="55"/>
      <c r="H30" s="85" t="s">
        <v>37</v>
      </c>
      <c r="I30" s="85">
        <v>1841</v>
      </c>
      <c r="J30" s="90">
        <v>0</v>
      </c>
      <c r="K30" s="90">
        <f>'LA-Ref 0.5'!K9</f>
        <v>3.04</v>
      </c>
      <c r="L30" s="90">
        <f>'LA-Ref 0.5'!L9</f>
        <v>3541.5859999999998</v>
      </c>
      <c r="M30" s="5">
        <f t="shared" si="7"/>
        <v>57.367726967016665</v>
      </c>
      <c r="N30" s="6">
        <f>100*J30*K30*(L30*0.00000001^3)^2*M30/INDEX('Reference-aQuartz'!$H$4:$H$17,MATCH($B$22,'Reference-aQuartz'!$A$4:$A$17,0))</f>
        <v>0</v>
      </c>
      <c r="O30" s="32">
        <f t="shared" si="8"/>
        <v>0</v>
      </c>
      <c r="P30" s="32">
        <f t="shared" si="4"/>
        <v>0</v>
      </c>
      <c r="Q30" s="69"/>
      <c r="R30" s="89" t="s">
        <v>37</v>
      </c>
      <c r="S30" s="69">
        <f>'LA-Ref 0.5'!P9*0.65</f>
        <v>2.3605659551948133</v>
      </c>
      <c r="T30" s="69">
        <f>P30</f>
        <v>0</v>
      </c>
      <c r="U30" s="34">
        <f t="shared" ref="U30:U31" si="9">(S30-T30)/S30</f>
        <v>1</v>
      </c>
    </row>
    <row r="31" spans="1:48" x14ac:dyDescent="0.25">
      <c r="A31" s="1" t="s">
        <v>1</v>
      </c>
      <c r="B31" s="12">
        <f>0.65*'LA-Ref 0.5'!B10+0.35*B10</f>
        <v>53.145000000000003</v>
      </c>
      <c r="C31" s="18">
        <f t="shared" si="5"/>
        <v>53.132058217120957</v>
      </c>
      <c r="D31" s="18">
        <f>INDEX(MAC!$H$3:$H$16,MATCH($A31,MAC!$A$3:$A$16,0))</f>
        <v>124.77929454143408</v>
      </c>
      <c r="E31" s="18">
        <f t="shared" si="6"/>
        <v>66.297807418667588</v>
      </c>
      <c r="F31" s="21"/>
      <c r="G31" s="55"/>
      <c r="H31" s="85" t="s">
        <v>38</v>
      </c>
      <c r="I31" s="85">
        <v>98836</v>
      </c>
      <c r="J31" s="65">
        <v>1.365E-5</v>
      </c>
      <c r="K31" s="90">
        <f>'LA-Ref 0.5'!K10</f>
        <v>3.75</v>
      </c>
      <c r="L31" s="90">
        <f>'LA-Ref 0.5'!L10</f>
        <v>430.91660000000002</v>
      </c>
      <c r="M31" s="5">
        <f t="shared" si="7"/>
        <v>57.367726967016665</v>
      </c>
      <c r="N31" s="6">
        <f>100*J31*K31*(L31*0.00000001^3)^2*M31/INDEX('Reference-aQuartz'!$H$4:$H$17,MATCH($B$22,'Reference-aQuartz'!$A$4:$A$17,0))</f>
        <v>0.63281123876096301</v>
      </c>
      <c r="O31" s="32">
        <f t="shared" si="8"/>
        <v>1.2266802474443281</v>
      </c>
      <c r="P31" s="32">
        <f t="shared" si="4"/>
        <v>0.79734216083881337</v>
      </c>
      <c r="Q31" s="69"/>
      <c r="R31" s="89" t="s">
        <v>81</v>
      </c>
      <c r="S31" s="69">
        <f>'LA-Ref 0.5'!P10*0.65</f>
        <v>6.9948801462326609</v>
      </c>
      <c r="T31" s="69">
        <f>P31</f>
        <v>0.79734216083881337</v>
      </c>
      <c r="U31" s="34">
        <f t="shared" si="9"/>
        <v>0.88601060430345613</v>
      </c>
    </row>
    <row r="32" spans="1:48" x14ac:dyDescent="0.25">
      <c r="A32" s="1" t="s">
        <v>56</v>
      </c>
      <c r="B32" s="12">
        <f>0.65*'LA-Ref 0.5'!B11+0.35*B11</f>
        <v>1.9724999999999999</v>
      </c>
      <c r="C32" s="18">
        <f t="shared" si="5"/>
        <v>1.9720196600483788</v>
      </c>
      <c r="D32" s="18">
        <f>INDEX(MAC!$H$3:$H$16,MATCH($A32,MAC!$A$3:$A$16,0))</f>
        <v>122.32505440840811</v>
      </c>
      <c r="E32" s="18">
        <f t="shared" si="6"/>
        <v>2.4122741220986841</v>
      </c>
      <c r="F32" s="21"/>
      <c r="G32" s="55"/>
      <c r="H32" s="85" t="s">
        <v>40</v>
      </c>
      <c r="I32" s="85">
        <v>202220</v>
      </c>
      <c r="J32" s="90">
        <v>2.043617E-2</v>
      </c>
      <c r="K32" s="90">
        <v>2.2400000000000002</v>
      </c>
      <c r="L32" s="90">
        <v>54.916699999999999</v>
      </c>
      <c r="M32" s="5">
        <f t="shared" si="7"/>
        <v>57.367726967016665</v>
      </c>
      <c r="N32" s="6">
        <f>100*J32*K32*(L32*0.00000001^3)^2*M32/INDEX('Reference-aQuartz'!$H$4:$H$17,MATCH($B$22,'Reference-aQuartz'!$A$4:$A$17,0))</f>
        <v>9.1913690648416289</v>
      </c>
      <c r="O32" s="32">
        <f t="shared" si="8"/>
        <v>17.817115418000697</v>
      </c>
      <c r="P32" s="32">
        <f t="shared" si="4"/>
        <v>11.581125021700453</v>
      </c>
      <c r="Q32" s="69">
        <v>14.1</v>
      </c>
      <c r="R32" s="89" t="s">
        <v>84</v>
      </c>
      <c r="S32" s="69">
        <f>SUM(S27:S31)</f>
        <v>58.346908787948472</v>
      </c>
      <c r="T32" s="69">
        <f>SUM(T27:T31)</f>
        <v>3.546806608328771</v>
      </c>
    </row>
    <row r="33" spans="1:22" x14ac:dyDescent="0.25">
      <c r="A33" s="1" t="s">
        <v>57</v>
      </c>
      <c r="B33" s="12">
        <f>0.65*'LA-Ref 0.5'!B12+0.35*B12</f>
        <v>3.6440000000000001</v>
      </c>
      <c r="C33" s="18">
        <f t="shared" si="5"/>
        <v>3.6431126191210605</v>
      </c>
      <c r="D33" s="18">
        <f>INDEX(MAC!$H$3:$H$16,MATCH($A33,MAC!$A$3:$A$16,0))</f>
        <v>44.261072668681777</v>
      </c>
      <c r="E33" s="18">
        <f t="shared" si="6"/>
        <v>1.6124807237510885</v>
      </c>
      <c r="F33" s="21"/>
      <c r="G33" s="55"/>
      <c r="H33" s="85" t="s">
        <v>25</v>
      </c>
      <c r="I33" s="85">
        <v>73446</v>
      </c>
      <c r="J33" s="90">
        <v>1.3149E-4</v>
      </c>
      <c r="K33" s="90">
        <v>2.71</v>
      </c>
      <c r="L33" s="90">
        <v>367.73410000000001</v>
      </c>
      <c r="M33" s="5">
        <f t="shared" si="7"/>
        <v>57.367726967016665</v>
      </c>
      <c r="N33" s="6">
        <f>100*J33*K33*(L33*0.00000001^3)^2*M33/INDEX('Reference-aQuartz'!$H$4:$H$17,MATCH($B$22,'Reference-aQuartz'!$A$4:$A$17,0))</f>
        <v>3.2081424177077924</v>
      </c>
      <c r="O33" s="32">
        <f t="shared" si="8"/>
        <v>6.2188606866335672</v>
      </c>
      <c r="P33" s="32">
        <f t="shared" si="4"/>
        <v>4.0422594463118182</v>
      </c>
      <c r="Q33" s="69">
        <v>6.1</v>
      </c>
    </row>
    <row r="34" spans="1:22" x14ac:dyDescent="0.25">
      <c r="A34" s="1" t="s">
        <v>14</v>
      </c>
      <c r="B34" s="12">
        <f>0.65*'LA-Ref 0.5'!B13+0.35*B13</f>
        <v>0.10900000000000001</v>
      </c>
      <c r="C34" s="18">
        <f t="shared" si="5"/>
        <v>0.10897345649950485</v>
      </c>
      <c r="D34" s="18">
        <f>INDEX(MAC!$H$3:$H$16,MATCH($A34,MAC!$A$3:$A$16,0))</f>
        <v>97.328178229861322</v>
      </c>
      <c r="E34" s="18">
        <f t="shared" si="6"/>
        <v>0.10606187996507847</v>
      </c>
      <c r="F34" s="21"/>
      <c r="G34" s="55"/>
      <c r="H34" s="85" t="s">
        <v>21</v>
      </c>
      <c r="I34" s="85">
        <v>174</v>
      </c>
      <c r="J34" s="90">
        <v>8.9700999999999995E-4</v>
      </c>
      <c r="K34" s="90">
        <v>2.65</v>
      </c>
      <c r="L34" s="90">
        <v>113.14100000000001</v>
      </c>
      <c r="M34" s="5">
        <f t="shared" si="7"/>
        <v>57.367726967016665</v>
      </c>
      <c r="N34" s="6">
        <f>100*J34*K34*(L34*0.00000001^3)^2*M34/INDEX('Reference-aQuartz'!$H$4:$H$17,MATCH($B$22,'Reference-aQuartz'!$A$4:$A$17,0))</f>
        <v>2.0258486668482636</v>
      </c>
      <c r="O34" s="32">
        <f t="shared" si="8"/>
        <v>3.9270297234289413</v>
      </c>
      <c r="P34" s="32">
        <f t="shared" si="4"/>
        <v>2.552569320228812</v>
      </c>
      <c r="Q34" s="69"/>
    </row>
    <row r="35" spans="1:22" x14ac:dyDescent="0.25">
      <c r="A35" s="1" t="s">
        <v>58</v>
      </c>
      <c r="B35" s="12">
        <f>0.65*'LA-Ref 0.5'!B14+0.35*B14</f>
        <v>0.51900000000000002</v>
      </c>
      <c r="C35" s="18">
        <f t="shared" si="5"/>
        <v>0.51887361397470655</v>
      </c>
      <c r="D35" s="18">
        <f>INDEX(MAC!$H$3:$H$16,MATCH($A35,MAC!$A$3:$A$16,0))</f>
        <v>19.10926020222594</v>
      </c>
      <c r="E35" s="18">
        <f t="shared" si="6"/>
        <v>9.9152909015120055E-2</v>
      </c>
      <c r="F35" s="21"/>
      <c r="G35" s="55"/>
      <c r="H35" s="85" t="s">
        <v>87</v>
      </c>
      <c r="I35" s="85">
        <v>155395</v>
      </c>
      <c r="J35" s="65">
        <v>8.8699999999999998E-6</v>
      </c>
      <c r="K35" s="90">
        <v>1.78</v>
      </c>
      <c r="L35" s="90">
        <v>2336.7249999999999</v>
      </c>
      <c r="M35" s="5">
        <f t="shared" si="7"/>
        <v>57.367726967016665</v>
      </c>
      <c r="N35" s="6">
        <f>100*J35*K35*(L35*0.00000001^3)^2*M35/INDEX('Reference-aQuartz'!$H$4:$H$17,MATCH($B$22,'Reference-aQuartz'!$A$4:$A$17,0))</f>
        <v>5.7396134890772776</v>
      </c>
      <c r="O35" s="32">
        <f t="shared" si="8"/>
        <v>11.126019994211338</v>
      </c>
      <c r="P35" s="32">
        <f t="shared" si="4"/>
        <v>7.2319129962373703</v>
      </c>
      <c r="Q35" s="69"/>
    </row>
    <row r="36" spans="1:22" x14ac:dyDescent="0.25">
      <c r="A36" s="1" t="s">
        <v>59</v>
      </c>
      <c r="B36" s="12">
        <f>0.65*'LA-Ref 0.5'!B15+0.35*B15</f>
        <v>0.22150000000000003</v>
      </c>
      <c r="C36" s="18">
        <f t="shared" si="5"/>
        <v>0.22144606068477363</v>
      </c>
      <c r="D36" s="18">
        <f>INDEX(MAC!$H$3:$H$16,MATCH($A36,MAC!$A$3:$A$16,0))</f>
        <v>124.47726788956365</v>
      </c>
      <c r="E36" s="18">
        <f t="shared" si="6"/>
        <v>0.27565000618947133</v>
      </c>
      <c r="F36" s="21"/>
      <c r="G36" s="55"/>
      <c r="H36" s="85" t="s">
        <v>88</v>
      </c>
      <c r="I36" s="85">
        <v>81963</v>
      </c>
      <c r="J36" s="90">
        <v>0</v>
      </c>
      <c r="K36" s="90"/>
      <c r="L36" s="90"/>
      <c r="M36" s="5">
        <f t="shared" si="7"/>
        <v>57.367726967016665</v>
      </c>
      <c r="N36" s="6">
        <f>100*J36*K36*(L36*0.00000001^3)^2*M36/INDEX('Reference-aQuartz'!$H$4:$H$17,MATCH($B$22,'Reference-aQuartz'!$A$4:$A$17,0))</f>
        <v>0</v>
      </c>
      <c r="O36" s="32">
        <f t="shared" si="8"/>
        <v>0</v>
      </c>
      <c r="P36" s="32">
        <f t="shared" si="4"/>
        <v>0</v>
      </c>
      <c r="Q36" s="69"/>
    </row>
    <row r="37" spans="1:22" x14ac:dyDescent="0.25">
      <c r="A37" s="1" t="s">
        <v>60</v>
      </c>
      <c r="B37" s="12">
        <f>0.65*'LA-Ref 0.5'!B16+0.35*B16</f>
        <v>1.1875</v>
      </c>
      <c r="C37" s="18">
        <f t="shared" si="5"/>
        <v>1.1872108219556146</v>
      </c>
      <c r="D37" s="18">
        <f>INDEX(MAC!$H$3:$H$16,MATCH($A37,MAC!$A$3:$A$16,0))</f>
        <v>39.431437267071992</v>
      </c>
      <c r="E37" s="18">
        <f t="shared" si="6"/>
        <v>0.46813429048731792</v>
      </c>
      <c r="F37" s="21"/>
      <c r="G37" s="55"/>
      <c r="H37" s="85" t="s">
        <v>89</v>
      </c>
      <c r="I37" s="85">
        <v>59327</v>
      </c>
      <c r="J37" s="90">
        <v>0</v>
      </c>
      <c r="K37" s="90"/>
      <c r="L37" s="90"/>
      <c r="M37" s="5">
        <f t="shared" si="7"/>
        <v>57.367726967016665</v>
      </c>
      <c r="N37" s="6">
        <f>100*J37*K37*(L37*0.00000001^3)^2*M37/INDEX('Reference-aQuartz'!$H$4:$H$17,MATCH($B$22,'Reference-aQuartz'!$A$4:$A$17,0))</f>
        <v>0</v>
      </c>
      <c r="O37" s="32">
        <f t="shared" si="8"/>
        <v>0</v>
      </c>
      <c r="P37" s="32">
        <f t="shared" si="4"/>
        <v>0</v>
      </c>
      <c r="Q37" s="69"/>
    </row>
    <row r="38" spans="1:22" x14ac:dyDescent="0.25">
      <c r="A38" s="19" t="s">
        <v>23</v>
      </c>
      <c r="B38" s="12">
        <f>0.65*'LA-Ref 0.5'!B17+0.35*B17</f>
        <v>0.24149999999999999</v>
      </c>
      <c r="C38" s="18">
        <f t="shared" si="5"/>
        <v>0.24144119031771027</v>
      </c>
      <c r="D38" s="18">
        <f>INDEX(MAC!$H$3:$H$16,MATCH($A38,MAC!$A$3:$A$16,0))</f>
        <v>197.69998688868492</v>
      </c>
      <c r="E38" s="18">
        <f t="shared" si="6"/>
        <v>0.47732920160199804</v>
      </c>
      <c r="F38" s="21"/>
      <c r="G38" s="55"/>
      <c r="H38" s="85" t="s">
        <v>90</v>
      </c>
      <c r="I38" s="85">
        <v>2105252</v>
      </c>
      <c r="J38" s="65">
        <v>4.4800000000000003E-6</v>
      </c>
      <c r="K38" s="90">
        <v>1.83</v>
      </c>
      <c r="L38" s="90">
        <v>1407.5450000000001</v>
      </c>
      <c r="M38" s="5">
        <f t="shared" si="7"/>
        <v>57.367726967016665</v>
      </c>
      <c r="N38" s="6">
        <f>100*J38*K38*(L38*0.00000001^3)^2*M38/INDEX('Reference-aQuartz'!$H$4:$H$17,MATCH($B$22,'Reference-aQuartz'!$A$4:$A$17,0))</f>
        <v>1.0813779156060463</v>
      </c>
      <c r="O38" s="32">
        <f t="shared" si="8"/>
        <v>2.0962094979440282</v>
      </c>
      <c r="P38" s="32">
        <f t="shared" si="4"/>
        <v>1.3625361736636183</v>
      </c>
      <c r="Q38" s="69"/>
    </row>
    <row r="39" spans="1:22" x14ac:dyDescent="0.25">
      <c r="A39" s="1" t="s">
        <v>66</v>
      </c>
      <c r="B39" s="12">
        <f>0.65*'LA-Ref 0.5'!B18+0.35*B18</f>
        <v>7.6269999999999998</v>
      </c>
      <c r="C39" s="18">
        <f>B39</f>
        <v>7.6269999999999998</v>
      </c>
      <c r="D39" s="18">
        <f>INDEX(MAC!$H$3:$H$16,MATCH($A39,MAC!$A$3:$A$16,0))</f>
        <v>9.592279079279237</v>
      </c>
      <c r="E39" s="18">
        <f t="shared" si="6"/>
        <v>0.73160312537662731</v>
      </c>
      <c r="F39" s="21"/>
      <c r="G39" s="55"/>
      <c r="H39" s="90" t="s">
        <v>114</v>
      </c>
      <c r="I39" s="90">
        <v>27324</v>
      </c>
      <c r="J39" s="65">
        <v>3.41E-6</v>
      </c>
      <c r="K39" s="90">
        <v>2.16</v>
      </c>
      <c r="L39" s="90">
        <v>1058.7729999999999</v>
      </c>
      <c r="M39" s="5">
        <f t="shared" si="7"/>
        <v>57.367726967016665</v>
      </c>
      <c r="N39" s="6">
        <f>100*J39*K39*(L39*0.00000001^3)^2*M39/INDEX('Reference-aQuartz'!$H$4:$H$17,MATCH($B$22,'Reference-aQuartz'!$A$4:$A$17,0))</f>
        <v>0.54971509293487075</v>
      </c>
      <c r="O39" s="32">
        <f t="shared" si="8"/>
        <v>1.0656015647660571</v>
      </c>
      <c r="P39" s="32">
        <f t="shared" si="4"/>
        <v>0.69264101709793713</v>
      </c>
      <c r="Q39" s="69"/>
    </row>
    <row r="40" spans="1:22" x14ac:dyDescent="0.25">
      <c r="A40" s="1" t="s">
        <v>65</v>
      </c>
      <c r="B40" s="12"/>
      <c r="C40" s="18"/>
      <c r="D40" s="18">
        <f>INDEX(MAC!$H$3:$H$16,MATCH($A40,MAC!$A$3:$A$16,0))</f>
        <v>10.256827976686095</v>
      </c>
      <c r="E40" s="18"/>
      <c r="F40" s="21"/>
      <c r="G40" s="55"/>
      <c r="H40" s="90" t="s">
        <v>115</v>
      </c>
      <c r="I40" s="90">
        <v>100138</v>
      </c>
      <c r="J40" s="65">
        <v>2.6299999999999998E-6</v>
      </c>
      <c r="K40" s="90">
        <v>1.95</v>
      </c>
      <c r="L40" s="90">
        <v>780.73239999999998</v>
      </c>
      <c r="M40" s="5">
        <f t="shared" si="7"/>
        <v>57.367726967016665</v>
      </c>
      <c r="N40" s="6">
        <f>100*J40*K40*(L40*0.00000001^3)^2*M40/INDEX('Reference-aQuartz'!$H$4:$H$17,MATCH($B$22,'Reference-aQuartz'!$A$4:$A$17,0))</f>
        <v>0.20812228278906103</v>
      </c>
      <c r="O40" s="32">
        <f t="shared" ref="O40:O42" si="10">P40*100/65</f>
        <v>0.40343704048341061</v>
      </c>
      <c r="P40" s="32">
        <f t="shared" ref="P40:P42" si="11">N40*(1+$E$23)</f>
        <v>0.26223407631421691</v>
      </c>
    </row>
    <row r="41" spans="1:22" x14ac:dyDescent="0.25">
      <c r="A41" s="25" t="s">
        <v>7</v>
      </c>
      <c r="B41" s="40">
        <f>SUM(B27:B38)</f>
        <v>92.395500000000013</v>
      </c>
      <c r="C41" s="40">
        <f>SUM(C27:C39)</f>
        <v>99.999999999999972</v>
      </c>
      <c r="D41" s="25" t="s">
        <v>29</v>
      </c>
      <c r="E41" s="56">
        <f>SUM(E27:E39)</f>
        <v>88.774992960570373</v>
      </c>
      <c r="F41" s="57">
        <f>E41*(1-C23)+D40*C23</f>
        <v>57.367726967016665</v>
      </c>
      <c r="H41" s="90" t="s">
        <v>33</v>
      </c>
      <c r="I41" s="90">
        <v>100495</v>
      </c>
      <c r="J41" s="65">
        <v>8.0190000000000003E-5</v>
      </c>
      <c r="K41" s="90">
        <v>2.5499999999999998</v>
      </c>
      <c r="L41" s="90">
        <v>362.02210000000002</v>
      </c>
      <c r="M41" s="5">
        <f t="shared" si="7"/>
        <v>57.367726967016665</v>
      </c>
      <c r="N41" s="6">
        <f>100*J41*K41*(L41*0.00000001^3)^2*M41/INDEX('Reference-aQuartz'!$H$4:$H$17,MATCH($B$22,'Reference-aQuartz'!$A$4:$A$17,0))</f>
        <v>1.7842445379950163</v>
      </c>
      <c r="O41" s="32">
        <f t="shared" si="10"/>
        <v>3.4586894121134164</v>
      </c>
      <c r="P41" s="32">
        <f t="shared" si="11"/>
        <v>2.2481481178737206</v>
      </c>
    </row>
    <row r="42" spans="1:22" x14ac:dyDescent="0.25">
      <c r="H42" s="90" t="s">
        <v>44</v>
      </c>
      <c r="I42" s="90">
        <v>15876</v>
      </c>
      <c r="J42" s="65">
        <v>1.8770000000000002E-5</v>
      </c>
      <c r="K42" s="90">
        <v>2.97</v>
      </c>
      <c r="L42" s="90">
        <v>303.95859999999999</v>
      </c>
      <c r="M42" s="5">
        <f t="shared" si="7"/>
        <v>57.367726967016665</v>
      </c>
      <c r="N42" s="6">
        <f>100*J42*K42*(L42*0.00000001^3)^2*M42/INDEX('Reference-aQuartz'!$H$4:$H$17,MATCH($B$22,'Reference-aQuartz'!$A$4:$A$17,0))</f>
        <v>0.34290467685864012</v>
      </c>
      <c r="O42" s="32">
        <f t="shared" si="10"/>
        <v>0.66470752744905626</v>
      </c>
      <c r="P42" s="32">
        <f t="shared" si="11"/>
        <v>0.43205989284188656</v>
      </c>
    </row>
    <row r="43" spans="1:22" x14ac:dyDescent="0.25">
      <c r="H43" s="107" t="s">
        <v>7</v>
      </c>
      <c r="I43" s="108"/>
      <c r="J43" s="108"/>
      <c r="K43" s="108"/>
      <c r="L43" s="108"/>
      <c r="M43" s="109"/>
      <c r="N43" s="6">
        <f>SUM(N27:N42)</f>
        <v>26.946264024284609</v>
      </c>
      <c r="O43" s="31">
        <f>SUM(O27:O42)</f>
        <v>52.234296416305547</v>
      </c>
      <c r="P43" s="31">
        <f>SUM(P27:P42)</f>
        <v>33.952292670598602</v>
      </c>
    </row>
    <row r="44" spans="1:22" x14ac:dyDescent="0.25">
      <c r="A44" s="42" t="s">
        <v>32</v>
      </c>
      <c r="B44" s="43">
        <v>44854</v>
      </c>
      <c r="C44" s="47" t="s">
        <v>85</v>
      </c>
      <c r="D44" s="48"/>
      <c r="E44" s="48" t="s">
        <v>77</v>
      </c>
      <c r="F44" s="49"/>
      <c r="H44" s="107" t="s">
        <v>28</v>
      </c>
      <c r="I44" s="108"/>
      <c r="J44" s="108"/>
      <c r="K44" s="108"/>
      <c r="L44" s="108"/>
      <c r="M44" s="109"/>
      <c r="N44" s="6">
        <f>100-N43</f>
        <v>73.053735975715398</v>
      </c>
      <c r="O44" s="31">
        <f>100-O43</f>
        <v>47.765703583694453</v>
      </c>
      <c r="P44" s="31">
        <f>100-P43</f>
        <v>66.047707329401391</v>
      </c>
    </row>
    <row r="45" spans="1:22" x14ac:dyDescent="0.25">
      <c r="A45" s="44" t="s">
        <v>78</v>
      </c>
      <c r="B45" s="50"/>
      <c r="C45" s="51">
        <v>0.43</v>
      </c>
      <c r="D45" s="52"/>
      <c r="E45" s="52">
        <v>0.28000000000000003</v>
      </c>
      <c r="F45" s="53"/>
    </row>
    <row r="46" spans="1:22" x14ac:dyDescent="0.25">
      <c r="H46" s="46" t="s">
        <v>6</v>
      </c>
      <c r="I46" s="28">
        <v>5.93</v>
      </c>
      <c r="J46" s="33"/>
    </row>
    <row r="47" spans="1:22" x14ac:dyDescent="0.25">
      <c r="A47" s="25" t="s">
        <v>8</v>
      </c>
      <c r="B47" s="25" t="s">
        <v>30</v>
      </c>
      <c r="C47" s="25" t="s">
        <v>31</v>
      </c>
      <c r="D47" s="25" t="s">
        <v>68</v>
      </c>
      <c r="E47" s="25" t="s">
        <v>69</v>
      </c>
      <c r="F47" s="25" t="s">
        <v>74</v>
      </c>
      <c r="G47" s="54"/>
      <c r="H47" s="25" t="s">
        <v>9</v>
      </c>
      <c r="I47" s="25" t="s">
        <v>86</v>
      </c>
      <c r="J47" s="25" t="s">
        <v>2</v>
      </c>
      <c r="K47" s="25" t="s">
        <v>3</v>
      </c>
      <c r="L47" s="25" t="s">
        <v>4</v>
      </c>
      <c r="M47" s="25" t="s">
        <v>5</v>
      </c>
      <c r="N47" s="5" t="s">
        <v>15</v>
      </c>
      <c r="O47" s="5" t="s">
        <v>15</v>
      </c>
      <c r="P47" s="5" t="s">
        <v>15</v>
      </c>
      <c r="Q47" s="88" t="s">
        <v>96</v>
      </c>
      <c r="R47" s="89"/>
      <c r="S47" s="96" t="s">
        <v>122</v>
      </c>
      <c r="T47" s="96" t="s">
        <v>123</v>
      </c>
      <c r="U47" s="88" t="s">
        <v>82</v>
      </c>
      <c r="V47" s="36" t="s">
        <v>83</v>
      </c>
    </row>
    <row r="48" spans="1:22" x14ac:dyDescent="0.25">
      <c r="A48" s="25" t="s">
        <v>11</v>
      </c>
      <c r="B48" s="25" t="s">
        <v>93</v>
      </c>
      <c r="C48" s="25" t="s">
        <v>93</v>
      </c>
      <c r="D48" s="25" t="s">
        <v>13</v>
      </c>
      <c r="E48" s="25" t="s">
        <v>13</v>
      </c>
      <c r="F48" s="25" t="s">
        <v>13</v>
      </c>
      <c r="G48" s="54"/>
      <c r="H48" s="25" t="s">
        <v>11</v>
      </c>
      <c r="I48" s="25" t="s">
        <v>11</v>
      </c>
      <c r="J48" s="25" t="s">
        <v>11</v>
      </c>
      <c r="K48" s="25" t="s">
        <v>16</v>
      </c>
      <c r="L48" s="25" t="s">
        <v>19</v>
      </c>
      <c r="M48" s="25" t="s">
        <v>13</v>
      </c>
      <c r="N48" s="5" t="s">
        <v>75</v>
      </c>
      <c r="O48" s="88" t="s">
        <v>113</v>
      </c>
      <c r="P48" s="68" t="s">
        <v>76</v>
      </c>
      <c r="Q48" s="88" t="s">
        <v>76</v>
      </c>
      <c r="R48" s="89"/>
      <c r="S48" s="88" t="s">
        <v>76</v>
      </c>
      <c r="T48" s="88" t="s">
        <v>76</v>
      </c>
      <c r="U48" s="88" t="s">
        <v>11</v>
      </c>
      <c r="V48" s="36" t="s">
        <v>11</v>
      </c>
    </row>
    <row r="49" spans="1:22" x14ac:dyDescent="0.25">
      <c r="A49" s="1" t="s">
        <v>53</v>
      </c>
      <c r="B49" s="12">
        <f>0.65*'LA-Ref 0.5'!B6+0.35*B6</f>
        <v>21.405000000000001</v>
      </c>
      <c r="C49" s="18">
        <f>B49*(100-B$39)/B$41</f>
        <v>21.399787489650468</v>
      </c>
      <c r="D49" s="18">
        <f>INDEX(MAC!$H$3:$H$16,MATCH($A49,MAC!$A$3:$A$16,0))</f>
        <v>35.900659077291785</v>
      </c>
      <c r="E49" s="18">
        <f>C49*D49/100</f>
        <v>7.6826647499243519</v>
      </c>
      <c r="F49" s="21"/>
      <c r="G49" s="55"/>
      <c r="H49" s="85" t="s">
        <v>34</v>
      </c>
      <c r="I49" s="85"/>
      <c r="J49" s="65">
        <v>2.2999999999999999E-7</v>
      </c>
      <c r="K49" s="25">
        <f>'LA-Ref 0.5'!K6</f>
        <v>3.15</v>
      </c>
      <c r="L49" s="81">
        <f>'LA-Ref 0.5'!L6</f>
        <v>2166.0790000000002</v>
      </c>
      <c r="M49" s="5">
        <f>$F$63</f>
        <v>55.012182017500137</v>
      </c>
      <c r="N49" s="6">
        <f>100*J49*K49*(L49*0.00000001^3)^2*M49/INDEX('Reference-aQuartz'!$H$4:$H$17,MATCH($B$44,'Reference-aQuartz'!$A$4:$A$17,0))</f>
        <v>0.23112332657243417</v>
      </c>
      <c r="O49" s="32">
        <f>P49*100/65</f>
        <v>0.45513516617340882</v>
      </c>
      <c r="P49" s="32">
        <f t="shared" ref="P49:P61" si="12">N49*(1+$E$45)</f>
        <v>0.29583785801271573</v>
      </c>
      <c r="Q49" s="69"/>
      <c r="R49" s="110" t="s">
        <v>79</v>
      </c>
      <c r="S49" s="100">
        <f>('LA-Ref 0.5'!P6+'LA-Ref 0.5'!P7)*0.65</f>
        <v>42.364846282241693</v>
      </c>
      <c r="T49" s="100">
        <f>P49+P50</f>
        <v>0.29583785801271573</v>
      </c>
      <c r="U49" s="102">
        <f>(S49-T49)/S49</f>
        <v>0.99301690236188289</v>
      </c>
      <c r="V49" s="30">
        <f>(U49*S49+U51*S51+U52*S52+U53*S53)/S54</f>
        <v>0.96708670887537906</v>
      </c>
    </row>
    <row r="50" spans="1:22" x14ac:dyDescent="0.25">
      <c r="A50" s="1" t="s">
        <v>54</v>
      </c>
      <c r="B50" s="12">
        <f>0.65*'LA-Ref 0.5'!B7+0.35*B7</f>
        <v>5.0600000000000005</v>
      </c>
      <c r="C50" s="18">
        <f t="shared" ref="C50:C60" si="13">B50*(100-B$39)/B$41</f>
        <v>5.058767797132977</v>
      </c>
      <c r="D50" s="18">
        <f>INDEX(MAC!$H$3:$H$16,MATCH($A50,MAC!$A$3:$A$16,0))</f>
        <v>31.664851266660783</v>
      </c>
      <c r="E50" s="18">
        <f t="shared" ref="E50:E61" si="14">C50*D50/100</f>
        <v>1.6018512988878895</v>
      </c>
      <c r="F50" s="21"/>
      <c r="G50" s="55"/>
      <c r="H50" s="85" t="s">
        <v>35</v>
      </c>
      <c r="I50" s="85">
        <v>94742</v>
      </c>
      <c r="J50" s="25">
        <v>0</v>
      </c>
      <c r="K50" s="81">
        <f>'LA-Ref 0.5'!K7</f>
        <v>3.16</v>
      </c>
      <c r="L50" s="81">
        <f>'LA-Ref 0.5'!L7</f>
        <v>4316.1279999999997</v>
      </c>
      <c r="M50" s="5">
        <f t="shared" ref="M50:M64" si="15">$F$63</f>
        <v>55.012182017500137</v>
      </c>
      <c r="N50" s="6">
        <f>100*J50*K50*(L50*0.00000001^3)^2*M50/INDEX('Reference-aQuartz'!$H$4:$H$17,MATCH($B$44,'Reference-aQuartz'!$A$4:$A$17,0))</f>
        <v>0</v>
      </c>
      <c r="O50" s="32">
        <f t="shared" ref="O50:O61" si="16">P50*100/65</f>
        <v>0</v>
      </c>
      <c r="P50" s="32">
        <f t="shared" si="12"/>
        <v>0</v>
      </c>
      <c r="Q50" s="69"/>
      <c r="R50" s="111"/>
      <c r="S50" s="101"/>
      <c r="T50" s="101"/>
      <c r="U50" s="103"/>
    </row>
    <row r="51" spans="1:22" x14ac:dyDescent="0.25">
      <c r="A51" s="1" t="s">
        <v>55</v>
      </c>
      <c r="B51" s="12">
        <f>0.65*'LA-Ref 0.5'!B8+0.35*B8</f>
        <v>3.0154999999999998</v>
      </c>
      <c r="C51" s="18">
        <f t="shared" si="13"/>
        <v>3.0147656704060259</v>
      </c>
      <c r="D51" s="18">
        <f>INDEX(MAC!$H$3:$H$16,MATCH($A51,MAC!$A$3:$A$16,0))</f>
        <v>214.68463619455559</v>
      </c>
      <c r="E51" s="18">
        <f t="shared" si="14"/>
        <v>6.4722387116295321</v>
      </c>
      <c r="F51" s="21"/>
      <c r="G51" s="55"/>
      <c r="H51" s="85" t="s">
        <v>36</v>
      </c>
      <c r="I51" s="85">
        <v>81096</v>
      </c>
      <c r="J51" s="65">
        <v>2.5009999999999999E-5</v>
      </c>
      <c r="K51" s="81">
        <f>'LA-Ref 0.5'!K8</f>
        <v>3.29</v>
      </c>
      <c r="L51" s="81">
        <f>'LA-Ref 0.5'!L8</f>
        <v>347.22930000000002</v>
      </c>
      <c r="M51" s="5">
        <f t="shared" si="15"/>
        <v>55.012182017500137</v>
      </c>
      <c r="N51" s="6">
        <f>100*J51*K51*(L51*0.00000001^3)^2*M51/INDEX('Reference-aQuartz'!$H$4:$H$17,MATCH($B$44,'Reference-aQuartz'!$A$4:$A$17,0))</f>
        <v>0.6745266692481503</v>
      </c>
      <c r="O51" s="32">
        <f t="shared" si="16"/>
        <v>1.3282986717502037</v>
      </c>
      <c r="P51" s="32">
        <f t="shared" si="12"/>
        <v>0.86339413663763243</v>
      </c>
      <c r="Q51" s="69"/>
      <c r="R51" s="89" t="s">
        <v>80</v>
      </c>
      <c r="S51" s="69">
        <f>'LA-Ref 0.5'!P8*0.65</f>
        <v>6.6266164042793037</v>
      </c>
      <c r="T51" s="69">
        <f>P51</f>
        <v>0.86339413663763243</v>
      </c>
      <c r="U51" s="34">
        <f>(S51-T51)/S51</f>
        <v>0.86970814606379299</v>
      </c>
    </row>
    <row r="52" spans="1:22" x14ac:dyDescent="0.25">
      <c r="A52" s="1" t="s">
        <v>0</v>
      </c>
      <c r="B52" s="12">
        <f>0.65*'LA-Ref 0.5'!B9+0.35*B9</f>
        <v>1.875</v>
      </c>
      <c r="C52" s="18">
        <f t="shared" si="13"/>
        <v>1.8745434030878125</v>
      </c>
      <c r="D52" s="18">
        <f>INDEX(MAC!$H$3:$H$16,MATCH($A52,MAC!$A$3:$A$16,0))</f>
        <v>28.686693628423974</v>
      </c>
      <c r="E52" s="18">
        <f t="shared" si="14"/>
        <v>0.53774452297563347</v>
      </c>
      <c r="F52" s="21"/>
      <c r="G52" s="55"/>
      <c r="H52" s="85" t="s">
        <v>37</v>
      </c>
      <c r="I52" s="85">
        <v>1841</v>
      </c>
      <c r="J52" s="25">
        <v>0</v>
      </c>
      <c r="K52" s="81">
        <f>'LA-Ref 0.5'!K9</f>
        <v>3.04</v>
      </c>
      <c r="L52" s="81">
        <f>'LA-Ref 0.5'!L9</f>
        <v>3541.5859999999998</v>
      </c>
      <c r="M52" s="5">
        <f t="shared" si="15"/>
        <v>55.012182017500137</v>
      </c>
      <c r="N52" s="6">
        <f>100*J52*K52*(L52*0.00000001^3)^2*M52/INDEX('Reference-aQuartz'!$H$4:$H$17,MATCH($B$44,'Reference-aQuartz'!$A$4:$A$17,0))</f>
        <v>0</v>
      </c>
      <c r="O52" s="32">
        <f t="shared" si="16"/>
        <v>0</v>
      </c>
      <c r="P52" s="32">
        <f t="shared" si="12"/>
        <v>0</v>
      </c>
      <c r="Q52" s="69"/>
      <c r="R52" s="89" t="s">
        <v>37</v>
      </c>
      <c r="S52" s="69">
        <f>'LA-Ref 0.5'!P9*0.65</f>
        <v>2.3605659551948133</v>
      </c>
      <c r="T52" s="69">
        <f>P52</f>
        <v>0</v>
      </c>
      <c r="U52" s="34">
        <f t="shared" ref="U52:U53" si="17">(S52-T52)/S52</f>
        <v>1</v>
      </c>
    </row>
    <row r="53" spans="1:22" x14ac:dyDescent="0.25">
      <c r="A53" s="1" t="s">
        <v>1</v>
      </c>
      <c r="B53" s="12">
        <f>0.65*'LA-Ref 0.5'!B10+0.35*B10</f>
        <v>53.145000000000003</v>
      </c>
      <c r="C53" s="18">
        <f t="shared" si="13"/>
        <v>53.132058217120957</v>
      </c>
      <c r="D53" s="18">
        <f>INDEX(MAC!$H$3:$H$16,MATCH($A53,MAC!$A$3:$A$16,0))</f>
        <v>124.77929454143408</v>
      </c>
      <c r="E53" s="18">
        <f t="shared" si="14"/>
        <v>66.297807418667588</v>
      </c>
      <c r="F53" s="21"/>
      <c r="G53" s="55"/>
      <c r="H53" s="85" t="s">
        <v>38</v>
      </c>
      <c r="I53" s="85">
        <v>98836</v>
      </c>
      <c r="J53" s="65">
        <v>1.256E-5</v>
      </c>
      <c r="K53" s="81">
        <f>'LA-Ref 0.5'!K10</f>
        <v>3.75</v>
      </c>
      <c r="L53" s="81">
        <f>'LA-Ref 0.5'!L10</f>
        <v>430.91660000000002</v>
      </c>
      <c r="M53" s="5">
        <f t="shared" si="15"/>
        <v>55.012182017500137</v>
      </c>
      <c r="N53" s="6">
        <f>100*J53*K53*(L53*0.00000001^3)^2*M53/INDEX('Reference-aQuartz'!$H$4:$H$17,MATCH($B$44,'Reference-aQuartz'!$A$4:$A$17,0))</f>
        <v>0.59465375039773938</v>
      </c>
      <c r="O53" s="32">
        <f t="shared" si="16"/>
        <v>1.1710104623217021</v>
      </c>
      <c r="P53" s="32">
        <f t="shared" si="12"/>
        <v>0.76115680050910639</v>
      </c>
      <c r="Q53" s="69"/>
      <c r="R53" s="89" t="s">
        <v>81</v>
      </c>
      <c r="S53" s="69">
        <f>'LA-Ref 0.5'!P10*0.65</f>
        <v>6.9948801462326609</v>
      </c>
      <c r="T53" s="69">
        <f>P53</f>
        <v>0.76115680050910639</v>
      </c>
      <c r="U53" s="34">
        <f t="shared" si="17"/>
        <v>0.89118372515373911</v>
      </c>
    </row>
    <row r="54" spans="1:22" x14ac:dyDescent="0.25">
      <c r="A54" s="1" t="s">
        <v>56</v>
      </c>
      <c r="B54" s="12">
        <f>0.65*'LA-Ref 0.5'!B11+0.35*B11</f>
        <v>1.9724999999999999</v>
      </c>
      <c r="C54" s="18">
        <f t="shared" si="13"/>
        <v>1.9720196600483788</v>
      </c>
      <c r="D54" s="18">
        <f>INDEX(MAC!$H$3:$H$16,MATCH($A54,MAC!$A$3:$A$16,0))</f>
        <v>122.32505440840811</v>
      </c>
      <c r="E54" s="18">
        <f t="shared" si="14"/>
        <v>2.4122741220986841</v>
      </c>
      <c r="F54" s="21"/>
      <c r="G54" s="55"/>
      <c r="H54" s="85" t="s">
        <v>40</v>
      </c>
      <c r="I54" s="85">
        <v>202220</v>
      </c>
      <c r="J54" s="90">
        <v>1.8753160000000001E-2</v>
      </c>
      <c r="K54" s="90">
        <v>2.2400000000000002</v>
      </c>
      <c r="L54" s="90">
        <v>54.930819999999997</v>
      </c>
      <c r="M54" s="5">
        <f t="shared" si="15"/>
        <v>55.012182017500137</v>
      </c>
      <c r="N54" s="6">
        <f>100*J54*K54*(L54*0.00000001^3)^2*M54/INDEX('Reference-aQuartz'!$H$4:$H$17,MATCH($B$44,'Reference-aQuartz'!$A$4:$A$17,0))</f>
        <v>8.6180983846976726</v>
      </c>
      <c r="O54" s="32">
        <f t="shared" si="16"/>
        <v>16.971024511404647</v>
      </c>
      <c r="P54" s="32">
        <f t="shared" si="12"/>
        <v>11.031165932413021</v>
      </c>
      <c r="Q54" s="69">
        <v>14.7</v>
      </c>
      <c r="R54" s="89" t="s">
        <v>84</v>
      </c>
      <c r="S54" s="69">
        <f>SUM(S49:S53)</f>
        <v>58.346908787948472</v>
      </c>
      <c r="T54" s="69">
        <f>SUM(T49:T53)</f>
        <v>1.9203887951594547</v>
      </c>
    </row>
    <row r="55" spans="1:22" x14ac:dyDescent="0.25">
      <c r="A55" s="1" t="s">
        <v>57</v>
      </c>
      <c r="B55" s="12">
        <f>0.65*'LA-Ref 0.5'!B12+0.35*B12</f>
        <v>3.6440000000000001</v>
      </c>
      <c r="C55" s="18">
        <f t="shared" si="13"/>
        <v>3.6431126191210605</v>
      </c>
      <c r="D55" s="18">
        <f>INDEX(MAC!$H$3:$H$16,MATCH($A55,MAC!$A$3:$A$16,0))</f>
        <v>44.261072668681777</v>
      </c>
      <c r="E55" s="18">
        <f t="shared" si="14"/>
        <v>1.6124807237510885</v>
      </c>
      <c r="F55" s="21"/>
      <c r="G55" s="55"/>
      <c r="H55" s="85" t="s">
        <v>25</v>
      </c>
      <c r="I55" s="85">
        <v>73446</v>
      </c>
      <c r="J55" s="90">
        <v>1.2695E-4</v>
      </c>
      <c r="K55" s="90">
        <v>2.71</v>
      </c>
      <c r="L55" s="90">
        <v>367.76749999999998</v>
      </c>
      <c r="M55" s="5">
        <f t="shared" si="15"/>
        <v>55.012182017500137</v>
      </c>
      <c r="N55" s="6">
        <f>100*J55*K55*(L55*0.00000001^3)^2*M55/INDEX('Reference-aQuartz'!$H$4:$H$17,MATCH($B$44,'Reference-aQuartz'!$A$4:$A$17,0))</f>
        <v>3.1637743244746535</v>
      </c>
      <c r="O55" s="32">
        <f t="shared" si="16"/>
        <v>6.2302017466577801</v>
      </c>
      <c r="P55" s="32">
        <f t="shared" si="12"/>
        <v>4.0496311353275569</v>
      </c>
      <c r="Q55" s="69">
        <v>4.9000000000000004</v>
      </c>
    </row>
    <row r="56" spans="1:22" x14ac:dyDescent="0.25">
      <c r="A56" s="1" t="s">
        <v>14</v>
      </c>
      <c r="B56" s="12">
        <f>0.65*'LA-Ref 0.5'!B13+0.35*B13</f>
        <v>0.10900000000000001</v>
      </c>
      <c r="C56" s="18">
        <f t="shared" si="13"/>
        <v>0.10897345649950485</v>
      </c>
      <c r="D56" s="18">
        <f>INDEX(MAC!$H$3:$H$16,MATCH($A56,MAC!$A$3:$A$16,0))</f>
        <v>97.328178229861322</v>
      </c>
      <c r="E56" s="18">
        <f t="shared" si="14"/>
        <v>0.10606187996507847</v>
      </c>
      <c r="F56" s="21"/>
      <c r="G56" s="55"/>
      <c r="H56" s="85" t="s">
        <v>21</v>
      </c>
      <c r="I56" s="85">
        <v>174</v>
      </c>
      <c r="J56" s="90">
        <v>9.0041999999999997E-4</v>
      </c>
      <c r="K56" s="90">
        <v>2.64</v>
      </c>
      <c r="L56" s="90">
        <v>113.3066</v>
      </c>
      <c r="M56" s="5">
        <f t="shared" si="15"/>
        <v>55.012182017500137</v>
      </c>
      <c r="N56" s="6">
        <f>100*J56*K56*(L56*0.00000001^3)^2*M56/INDEX('Reference-aQuartz'!$H$4:$H$17,MATCH($B$44,'Reference-aQuartz'!$A$4:$A$17,0))</f>
        <v>2.0749913065782031</v>
      </c>
      <c r="O56" s="32">
        <f t="shared" si="16"/>
        <v>4.0861367268001541</v>
      </c>
      <c r="P56" s="32">
        <f t="shared" si="12"/>
        <v>2.6559888724201</v>
      </c>
      <c r="Q56" s="69"/>
    </row>
    <row r="57" spans="1:22" x14ac:dyDescent="0.25">
      <c r="A57" s="1" t="s">
        <v>58</v>
      </c>
      <c r="B57" s="12">
        <f>0.65*'LA-Ref 0.5'!B14+0.35*B14</f>
        <v>0.51900000000000002</v>
      </c>
      <c r="C57" s="18">
        <f t="shared" si="13"/>
        <v>0.51887361397470655</v>
      </c>
      <c r="D57" s="18">
        <f>INDEX(MAC!$H$3:$H$16,MATCH($A57,MAC!$A$3:$A$16,0))</f>
        <v>19.10926020222594</v>
      </c>
      <c r="E57" s="18">
        <f t="shared" si="14"/>
        <v>9.9152909015120055E-2</v>
      </c>
      <c r="F57" s="21"/>
      <c r="G57" s="55"/>
      <c r="H57" s="85" t="s">
        <v>87</v>
      </c>
      <c r="I57" s="85">
        <v>155395</v>
      </c>
      <c r="J57" s="65">
        <v>9.4199999999999996E-6</v>
      </c>
      <c r="K57" s="90">
        <v>1.78</v>
      </c>
      <c r="L57" s="90">
        <v>2336.1410000000001</v>
      </c>
      <c r="M57" s="5">
        <f t="shared" si="15"/>
        <v>55.012182017500137</v>
      </c>
      <c r="N57" s="6">
        <f>100*J57*K57*(L57*0.00000001^3)^2*M57/INDEX('Reference-aQuartz'!$H$4:$H$17,MATCH($B$44,'Reference-aQuartz'!$A$4:$A$17,0))</f>
        <v>6.2219399337102557</v>
      </c>
      <c r="O57" s="32">
        <f t="shared" si="16"/>
        <v>12.252435561767888</v>
      </c>
      <c r="P57" s="32">
        <f t="shared" si="12"/>
        <v>7.9640831151491271</v>
      </c>
      <c r="Q57" s="69"/>
    </row>
    <row r="58" spans="1:22" x14ac:dyDescent="0.25">
      <c r="A58" s="1" t="s">
        <v>59</v>
      </c>
      <c r="B58" s="12">
        <f>0.65*'LA-Ref 0.5'!B15+0.35*B15</f>
        <v>0.22150000000000003</v>
      </c>
      <c r="C58" s="18">
        <f t="shared" si="13"/>
        <v>0.22144606068477363</v>
      </c>
      <c r="D58" s="18">
        <f>INDEX(MAC!$H$3:$H$16,MATCH($A58,MAC!$A$3:$A$16,0))</f>
        <v>124.47726788956365</v>
      </c>
      <c r="E58" s="18">
        <f t="shared" si="14"/>
        <v>0.27565000618947133</v>
      </c>
      <c r="F58" s="21"/>
      <c r="G58" s="55"/>
      <c r="H58" s="85" t="s">
        <v>88</v>
      </c>
      <c r="I58" s="85">
        <v>81963</v>
      </c>
      <c r="J58" s="90">
        <v>0</v>
      </c>
      <c r="K58" s="90"/>
      <c r="L58" s="90"/>
      <c r="M58" s="5">
        <f t="shared" si="15"/>
        <v>55.012182017500137</v>
      </c>
      <c r="N58" s="6">
        <f>100*J58*K58*(L58*0.00000001^3)^2*M58/INDEX('Reference-aQuartz'!$H$4:$H$17,MATCH($B$44,'Reference-aQuartz'!$A$4:$A$17,0))</f>
        <v>0</v>
      </c>
      <c r="O58" s="32">
        <f t="shared" si="16"/>
        <v>0</v>
      </c>
      <c r="P58" s="32">
        <f t="shared" si="12"/>
        <v>0</v>
      </c>
      <c r="Q58" s="69"/>
    </row>
    <row r="59" spans="1:22" x14ac:dyDescent="0.25">
      <c r="A59" s="1" t="s">
        <v>60</v>
      </c>
      <c r="B59" s="12">
        <f>0.65*'LA-Ref 0.5'!B16+0.35*B16</f>
        <v>1.1875</v>
      </c>
      <c r="C59" s="18">
        <f t="shared" si="13"/>
        <v>1.1872108219556146</v>
      </c>
      <c r="D59" s="18">
        <f>INDEX(MAC!$H$3:$H$16,MATCH($A59,MAC!$A$3:$A$16,0))</f>
        <v>39.431437267071992</v>
      </c>
      <c r="E59" s="18">
        <f t="shared" si="14"/>
        <v>0.46813429048731792</v>
      </c>
      <c r="F59" s="21"/>
      <c r="G59" s="55"/>
      <c r="H59" s="85" t="s">
        <v>89</v>
      </c>
      <c r="I59" s="85">
        <v>59327</v>
      </c>
      <c r="J59" s="65">
        <v>1.2150000000000001E-5</v>
      </c>
      <c r="K59" s="90">
        <v>2.16</v>
      </c>
      <c r="L59" s="90">
        <v>437.46519999999998</v>
      </c>
      <c r="M59" s="5">
        <f t="shared" si="15"/>
        <v>55.012182017500137</v>
      </c>
      <c r="N59" s="6">
        <f>100*J59*K59*(L59*0.00000001^3)^2*M59/INDEX('Reference-aQuartz'!$H$4:$H$17,MATCH($B$44,'Reference-aQuartz'!$A$4:$A$17,0))</f>
        <v>0.34148674980344162</v>
      </c>
      <c r="O59" s="32">
        <f t="shared" si="16"/>
        <v>0.67246621499754655</v>
      </c>
      <c r="P59" s="32">
        <f t="shared" si="12"/>
        <v>0.43710303974840531</v>
      </c>
      <c r="Q59" s="69"/>
    </row>
    <row r="60" spans="1:22" x14ac:dyDescent="0.25">
      <c r="A60" s="19" t="s">
        <v>23</v>
      </c>
      <c r="B60" s="12">
        <f>0.65*'LA-Ref 0.5'!B17+0.35*B17</f>
        <v>0.24149999999999999</v>
      </c>
      <c r="C60" s="18">
        <f t="shared" si="13"/>
        <v>0.24144119031771027</v>
      </c>
      <c r="D60" s="18">
        <f>INDEX(MAC!$H$3:$H$16,MATCH($A60,MAC!$A$3:$A$16,0))</f>
        <v>197.69998688868492</v>
      </c>
      <c r="E60" s="18">
        <f t="shared" si="14"/>
        <v>0.47732920160199804</v>
      </c>
      <c r="F60" s="21"/>
      <c r="G60" s="55"/>
      <c r="H60" s="85" t="s">
        <v>90</v>
      </c>
      <c r="I60" s="85">
        <v>2105252</v>
      </c>
      <c r="J60" s="65">
        <v>3.7100000000000001E-6</v>
      </c>
      <c r="K60" s="90">
        <v>1.83</v>
      </c>
      <c r="L60" s="90">
        <v>1405.5930000000001</v>
      </c>
      <c r="M60" s="5">
        <f t="shared" si="15"/>
        <v>55.012182017500137</v>
      </c>
      <c r="N60" s="6">
        <f>100*J60*K60*(L60*0.00000001^3)^2*M60/INDEX('Reference-aQuartz'!$H$4:$H$17,MATCH($B$44,'Reference-aQuartz'!$A$4:$A$17,0))</f>
        <v>0.91201289047406964</v>
      </c>
      <c r="O60" s="32">
        <f t="shared" si="16"/>
        <v>1.7959638458566296</v>
      </c>
      <c r="P60" s="32">
        <f t="shared" si="12"/>
        <v>1.1673764998068092</v>
      </c>
      <c r="Q60" s="69"/>
    </row>
    <row r="61" spans="1:22" x14ac:dyDescent="0.25">
      <c r="A61" s="1" t="s">
        <v>66</v>
      </c>
      <c r="B61" s="12">
        <f>0.65*'LA-Ref 0.5'!B18+0.35*B18</f>
        <v>7.6269999999999998</v>
      </c>
      <c r="C61" s="18">
        <f>B61</f>
        <v>7.6269999999999998</v>
      </c>
      <c r="D61" s="18">
        <f>INDEX(MAC!$H$3:$H$16,MATCH($A61,MAC!$A$3:$A$16,0))</f>
        <v>9.592279079279237</v>
      </c>
      <c r="E61" s="18">
        <f t="shared" si="14"/>
        <v>0.73160312537662731</v>
      </c>
      <c r="F61" s="21"/>
      <c r="G61" s="55"/>
      <c r="H61" s="90" t="s">
        <v>114</v>
      </c>
      <c r="I61" s="90">
        <v>27324</v>
      </c>
      <c r="J61" s="65">
        <v>1.59E-6</v>
      </c>
      <c r="K61" s="90">
        <v>2.14</v>
      </c>
      <c r="L61" s="90">
        <v>1060.915</v>
      </c>
      <c r="M61" s="5">
        <f t="shared" si="15"/>
        <v>55.012182017500137</v>
      </c>
      <c r="N61" s="6">
        <f>100*J61*K61*(L61*0.00000001^3)^2*M61/INDEX('Reference-aQuartz'!$H$4:$H$17,MATCH($B$44,'Reference-aQuartz'!$A$4:$A$17,0))</f>
        <v>0.26039274712023058</v>
      </c>
      <c r="O61" s="32">
        <f t="shared" si="16"/>
        <v>0.51277340971368479</v>
      </c>
      <c r="P61" s="32">
        <f t="shared" si="12"/>
        <v>0.33330271631389513</v>
      </c>
      <c r="Q61" s="69"/>
    </row>
    <row r="62" spans="1:22" x14ac:dyDescent="0.25">
      <c r="A62" s="1" t="s">
        <v>65</v>
      </c>
      <c r="B62" s="12"/>
      <c r="C62" s="18"/>
      <c r="D62" s="18">
        <f>INDEX(MAC!$H$3:$H$16,MATCH($A62,MAC!$A$3:$A$16,0))</f>
        <v>10.256827976686095</v>
      </c>
      <c r="E62" s="18"/>
      <c r="F62" s="21"/>
      <c r="G62" s="55"/>
      <c r="H62" s="90" t="s">
        <v>115</v>
      </c>
      <c r="I62" s="90">
        <v>100138</v>
      </c>
      <c r="J62" s="65">
        <v>2.9100000000000001E-6</v>
      </c>
      <c r="K62" s="90">
        <v>1.95</v>
      </c>
      <c r="L62" s="90">
        <v>777.64070000000004</v>
      </c>
      <c r="M62" s="5">
        <f t="shared" si="15"/>
        <v>55.012182017500137</v>
      </c>
      <c r="N62" s="6">
        <f>100*J62*K62*(L62*0.00000001^3)^2*M62/INDEX('Reference-aQuartz'!$H$4:$H$17,MATCH($B$44,'Reference-aQuartz'!$A$4:$A$17,0))</f>
        <v>0.23331484455489263</v>
      </c>
      <c r="O62" s="32">
        <f t="shared" ref="O62:O64" si="18">P62*100/65</f>
        <v>0.45945077081578861</v>
      </c>
      <c r="P62" s="32">
        <f t="shared" ref="P62:P64" si="19">N62*(1+$E$45)</f>
        <v>0.29864300103026259</v>
      </c>
    </row>
    <row r="63" spans="1:22" x14ac:dyDescent="0.25">
      <c r="A63" s="25" t="s">
        <v>7</v>
      </c>
      <c r="B63" s="40">
        <f>SUM(B49:B60)</f>
        <v>92.395500000000013</v>
      </c>
      <c r="C63" s="40">
        <f>SUM(C49:C61)</f>
        <v>99.999999999999972</v>
      </c>
      <c r="D63" s="25" t="s">
        <v>29</v>
      </c>
      <c r="E63" s="56">
        <f>SUM(E49:E61)</f>
        <v>88.774992960570373</v>
      </c>
      <c r="F63" s="57">
        <f>E63*(1-C45)+D62*C45</f>
        <v>55.012182017500137</v>
      </c>
      <c r="H63" s="90" t="s">
        <v>33</v>
      </c>
      <c r="I63" s="90">
        <v>100495</v>
      </c>
      <c r="J63" s="65">
        <v>6.8280000000000004E-5</v>
      </c>
      <c r="K63" s="90">
        <v>2.57</v>
      </c>
      <c r="L63" s="90">
        <v>359.16950000000003</v>
      </c>
      <c r="M63" s="5">
        <f t="shared" si="15"/>
        <v>55.012182017500137</v>
      </c>
      <c r="N63" s="6">
        <f>100*J63*K63*(L63*0.00000001^3)^2*M63/INDEX('Reference-aQuartz'!$H$4:$H$17,MATCH($B$44,'Reference-aQuartz'!$A$4:$A$17,0))</f>
        <v>1.5391549451560305</v>
      </c>
      <c r="O63" s="32">
        <f t="shared" si="18"/>
        <v>3.0309512766149522</v>
      </c>
      <c r="P63" s="32">
        <f t="shared" si="19"/>
        <v>1.9701183297997191</v>
      </c>
    </row>
    <row r="64" spans="1:22" x14ac:dyDescent="0.25">
      <c r="H64" s="90" t="s">
        <v>44</v>
      </c>
      <c r="I64" s="90">
        <v>15876</v>
      </c>
      <c r="J64" s="65">
        <v>1.048E-5</v>
      </c>
      <c r="K64" s="90">
        <v>2.96</v>
      </c>
      <c r="L64" s="90">
        <v>305.20600000000002</v>
      </c>
      <c r="M64" s="5">
        <f t="shared" si="15"/>
        <v>55.012182017500137</v>
      </c>
      <c r="N64" s="6">
        <f>100*J64*K64*(L64*0.00000001^3)^2*M64/INDEX('Reference-aQuartz'!$H$4:$H$17,MATCH($B$44,'Reference-aQuartz'!$A$4:$A$17,0))</f>
        <v>0.19646985922467911</v>
      </c>
      <c r="O64" s="32">
        <f t="shared" si="18"/>
        <v>0.38689449201167575</v>
      </c>
      <c r="P64" s="32">
        <f t="shared" si="19"/>
        <v>0.25148141980758926</v>
      </c>
    </row>
    <row r="65" spans="8:16" x14ac:dyDescent="0.25">
      <c r="H65" s="107" t="s">
        <v>7</v>
      </c>
      <c r="I65" s="108"/>
      <c r="J65" s="108"/>
      <c r="K65" s="108"/>
      <c r="L65" s="108"/>
      <c r="M65" s="109"/>
      <c r="N65" s="6">
        <f>SUM(N49:N61)</f>
        <v>23.093000083076852</v>
      </c>
      <c r="O65" s="31">
        <f>SUM(O49:O61)</f>
        <v>45.475446317443655</v>
      </c>
      <c r="P65" s="31">
        <f>SUM(P49:P61)</f>
        <v>29.559040106338365</v>
      </c>
    </row>
    <row r="66" spans="8:16" x14ac:dyDescent="0.25">
      <c r="H66" s="107" t="s">
        <v>28</v>
      </c>
      <c r="I66" s="108"/>
      <c r="J66" s="108"/>
      <c r="K66" s="108"/>
      <c r="L66" s="108"/>
      <c r="M66" s="109"/>
      <c r="N66" s="6">
        <f>100-N65</f>
        <v>76.906999916923155</v>
      </c>
      <c r="O66" s="31">
        <f>100-O65</f>
        <v>54.524553682556345</v>
      </c>
      <c r="P66" s="31">
        <f>100-P65</f>
        <v>70.440959893661642</v>
      </c>
    </row>
  </sheetData>
  <mergeCells count="14">
    <mergeCell ref="H19:M19"/>
    <mergeCell ref="H18:M18"/>
    <mergeCell ref="T27:T28"/>
    <mergeCell ref="T49:T50"/>
    <mergeCell ref="H66:M66"/>
    <mergeCell ref="H65:M65"/>
    <mergeCell ref="H43:M43"/>
    <mergeCell ref="H44:M44"/>
    <mergeCell ref="S49:S50"/>
    <mergeCell ref="U49:U50"/>
    <mergeCell ref="R49:R50"/>
    <mergeCell ref="R27:R28"/>
    <mergeCell ref="S27:S28"/>
    <mergeCell ref="U27:U2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582AB7F28F62D458439CE9019DEE3F2" ma:contentTypeVersion="13" ma:contentTypeDescription="Opret et nyt dokument." ma:contentTypeScope="" ma:versionID="ec1cd579b9fcd575ee5be3cd28e1043b">
  <xsd:schema xmlns:xsd="http://www.w3.org/2001/XMLSchema" xmlns:xs="http://www.w3.org/2001/XMLSchema" xmlns:p="http://schemas.microsoft.com/office/2006/metadata/properties" xmlns:ns3="caa8d4bf-9ef7-4b99-8c87-0cf98e970810" xmlns:ns4="c0b220dd-a269-488d-9716-5c73c3c14e95" targetNamespace="http://schemas.microsoft.com/office/2006/metadata/properties" ma:root="true" ma:fieldsID="96f49c61ce6299ef1d52ba80b6480a76" ns3:_="" ns4:_="">
    <xsd:import namespace="caa8d4bf-9ef7-4b99-8c87-0cf98e970810"/>
    <xsd:import namespace="c0b220dd-a269-488d-9716-5c73c3c14e9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a8d4bf-9ef7-4b99-8c87-0cf98e970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værdi for deling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b220dd-a269-488d-9716-5c73c3c14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DCD087-72F3-4053-9512-0684B496B0DE}">
  <ds:schemaRefs>
    <ds:schemaRef ds:uri="c0b220dd-a269-488d-9716-5c73c3c14e95"/>
    <ds:schemaRef ds:uri="http://purl.org/dc/elements/1.1/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caa8d4bf-9ef7-4b99-8c87-0cf98e970810"/>
  </ds:schemaRefs>
</ds:datastoreItem>
</file>

<file path=customXml/itemProps2.xml><?xml version="1.0" encoding="utf-8"?>
<ds:datastoreItem xmlns:ds="http://schemas.openxmlformats.org/officeDocument/2006/customXml" ds:itemID="{95B29DEC-C9D6-4BD3-9557-195E39107B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a8d4bf-9ef7-4b99-8c87-0cf98e970810"/>
    <ds:schemaRef ds:uri="c0b220dd-a269-488d-9716-5c73c3c14e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FF29BB-A858-4105-B5DC-EDE482A57E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MAC</vt:lpstr>
      <vt:lpstr>Reference-aQuartz</vt:lpstr>
      <vt:lpstr>LA-Ref 0.4</vt:lpstr>
      <vt:lpstr>LA-Ref 0.5</vt:lpstr>
      <vt:lpstr>LA-Ref 0.6</vt:lpstr>
      <vt:lpstr>HA-Ref</vt:lpstr>
      <vt:lpstr>LA-LL</vt:lpstr>
      <vt:lpstr>LA-FA</vt:lpstr>
      <vt:lpstr>LA-BA1</vt:lpstr>
      <vt:lpstr>LA-BA2</vt:lpstr>
      <vt:lpstr>LA-CC1</vt:lpstr>
      <vt:lpstr>LA-CC2</vt:lpstr>
      <vt:lpstr>LA-SSA</vt:lpstr>
      <vt:lpstr>LA-CB</vt:lpstr>
      <vt:lpstr>LA-GB</vt:lpstr>
      <vt:lpstr>LA-GB_f</vt:lpstr>
    </vt:vector>
  </TitlesOfParts>
  <Company>DTU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Anette Canul Polanco</dc:creator>
  <cp:lastModifiedBy>Maxime Ranger</cp:lastModifiedBy>
  <cp:lastPrinted>2021-03-31T13:25:49Z</cp:lastPrinted>
  <dcterms:created xsi:type="dcterms:W3CDTF">2019-11-06T15:25:19Z</dcterms:created>
  <dcterms:modified xsi:type="dcterms:W3CDTF">2023-04-05T21:26:06Z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0x0101006582AB7F28F62D458439CE9019DEE3F2</vt:lpwstr>
  </property>
</Properties>
</file>