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/>
  <mc:AlternateContent xmlns:mc="http://schemas.openxmlformats.org/markup-compatibility/2006">
    <mc:Choice Requires="x15">
      <x15ac:absPath xmlns:x15ac="http://schemas.microsoft.com/office/spreadsheetml/2010/11/ac" url="K:\DT\BBM\BYG\MAXR\Publications\3. Paper 3\Data\"/>
    </mc:Choice>
  </mc:AlternateContent>
  <xr:revisionPtr revIDLastSave="0" documentId="13_ncr:1_{A8C6146F-9B51-4A7B-BAC2-146CB17758A2}" xr6:coauthVersionLast="47" xr6:coauthVersionMax="47" xr10:uidLastSave="{00000000-0000-0000-0000-000000000000}"/>
  <bookViews>
    <workbookView xWindow="22932" yWindow="-108" windowWidth="23256" windowHeight="12576" tabRatio="745" activeTab="4" xr2:uid="{00000000-000D-0000-FFFF-FFFF00000000}"/>
  </bookViews>
  <sheets>
    <sheet name="Pore solution conductivity" sheetId="10" r:id="rId1"/>
    <sheet name="Bulk conductivity" sheetId="8" r:id="rId2"/>
    <sheet name="Summary bulk conductivity" sheetId="9" r:id="rId3"/>
    <sheet name="Formation factor" sheetId="11" r:id="rId4"/>
    <sheet name="Graphs" sheetId="12" r:id="rId5"/>
  </sheets>
  <definedNames>
    <definedName name="solver_adj" localSheetId="3" hidden="1">'Formation factor'!$Q$13</definedName>
    <definedName name="solver_adj" localSheetId="0" hidden="1">'Pore solution conductivity'!$E$10,'Pore solution conductivity'!$G$10</definedName>
    <definedName name="solver_adj" localSheetId="2" hidden="1">'Summary bulk conductivity'!$F$8</definedName>
    <definedName name="solver_cvg" localSheetId="3" hidden="1">0.0001</definedName>
    <definedName name="solver_cvg" localSheetId="0" hidden="1">0.0001</definedName>
    <definedName name="solver_cvg" localSheetId="2" hidden="1">0.0001</definedName>
    <definedName name="solver_drv" localSheetId="3" hidden="1">1</definedName>
    <definedName name="solver_drv" localSheetId="0" hidden="1">1</definedName>
    <definedName name="solver_drv" localSheetId="2" hidden="1">1</definedName>
    <definedName name="solver_eng" localSheetId="3" hidden="1">1</definedName>
    <definedName name="solver_eng" localSheetId="0" hidden="1">1</definedName>
    <definedName name="solver_eng" localSheetId="2" hidden="1">1</definedName>
    <definedName name="solver_est" localSheetId="3" hidden="1">1</definedName>
    <definedName name="solver_est" localSheetId="0" hidden="1">1</definedName>
    <definedName name="solver_est" localSheetId="2" hidden="1">1</definedName>
    <definedName name="solver_itr" localSheetId="3" hidden="1">2147483647</definedName>
    <definedName name="solver_itr" localSheetId="0" hidden="1">2147483647</definedName>
    <definedName name="solver_itr" localSheetId="2" hidden="1">2147483647</definedName>
    <definedName name="solver_mip" localSheetId="3" hidden="1">2147483647</definedName>
    <definedName name="solver_mip" localSheetId="0" hidden="1">2147483647</definedName>
    <definedName name="solver_mip" localSheetId="2" hidden="1">2147483647</definedName>
    <definedName name="solver_mni" localSheetId="3" hidden="1">30</definedName>
    <definedName name="solver_mni" localSheetId="0" hidden="1">30</definedName>
    <definedName name="solver_mni" localSheetId="2" hidden="1">30</definedName>
    <definedName name="solver_mrt" localSheetId="3" hidden="1">0.075</definedName>
    <definedName name="solver_mrt" localSheetId="0" hidden="1">0.075</definedName>
    <definedName name="solver_mrt" localSheetId="2" hidden="1">0.075</definedName>
    <definedName name="solver_msl" localSheetId="3" hidden="1">2</definedName>
    <definedName name="solver_msl" localSheetId="0" hidden="1">2</definedName>
    <definedName name="solver_msl" localSheetId="2" hidden="1">2</definedName>
    <definedName name="solver_neg" localSheetId="3" hidden="1">2</definedName>
    <definedName name="solver_neg" localSheetId="0" hidden="1">2</definedName>
    <definedName name="solver_neg" localSheetId="2" hidden="1">2</definedName>
    <definedName name="solver_nod" localSheetId="3" hidden="1">2147483647</definedName>
    <definedName name="solver_nod" localSheetId="0" hidden="1">2147483647</definedName>
    <definedName name="solver_nod" localSheetId="2" hidden="1">2147483647</definedName>
    <definedName name="solver_num" localSheetId="3" hidden="1">0</definedName>
    <definedName name="solver_num" localSheetId="0" hidden="1">0</definedName>
    <definedName name="solver_num" localSheetId="2" hidden="1">0</definedName>
    <definedName name="solver_nwt" localSheetId="3" hidden="1">1</definedName>
    <definedName name="solver_nwt" localSheetId="0" hidden="1">1</definedName>
    <definedName name="solver_nwt" localSheetId="2" hidden="1">1</definedName>
    <definedName name="solver_opt" localSheetId="3" hidden="1">'Formation factor'!$Q$21</definedName>
    <definedName name="solver_opt" localSheetId="0" hidden="1">'Pore solution conductivity'!$E$15</definedName>
    <definedName name="solver_opt" localSheetId="2" hidden="1">'Summary bulk conductivity'!$F$16</definedName>
    <definedName name="solver_pre" localSheetId="3" hidden="1">0.000001</definedName>
    <definedName name="solver_pre" localSheetId="0" hidden="1">0.000001</definedName>
    <definedName name="solver_pre" localSheetId="2" hidden="1">0.000001</definedName>
    <definedName name="solver_rbv" localSheetId="3" hidden="1">1</definedName>
    <definedName name="solver_rbv" localSheetId="0" hidden="1">1</definedName>
    <definedName name="solver_rbv" localSheetId="2" hidden="1">1</definedName>
    <definedName name="solver_rlx" localSheetId="3" hidden="1">2</definedName>
    <definedName name="solver_rlx" localSheetId="0" hidden="1">2</definedName>
    <definedName name="solver_rlx" localSheetId="2" hidden="1">2</definedName>
    <definedName name="solver_rsd" localSheetId="3" hidden="1">0</definedName>
    <definedName name="solver_rsd" localSheetId="0" hidden="1">0</definedName>
    <definedName name="solver_rsd" localSheetId="2" hidden="1">0</definedName>
    <definedName name="solver_scl" localSheetId="3" hidden="1">1</definedName>
    <definedName name="solver_scl" localSheetId="0" hidden="1">1</definedName>
    <definedName name="solver_scl" localSheetId="2" hidden="1">1</definedName>
    <definedName name="solver_sho" localSheetId="3" hidden="1">2</definedName>
    <definedName name="solver_sho" localSheetId="0" hidden="1">2</definedName>
    <definedName name="solver_sho" localSheetId="2" hidden="1">2</definedName>
    <definedName name="solver_ssz" localSheetId="3" hidden="1">100</definedName>
    <definedName name="solver_ssz" localSheetId="0" hidden="1">100</definedName>
    <definedName name="solver_ssz" localSheetId="2" hidden="1">100</definedName>
    <definedName name="solver_tim" localSheetId="3" hidden="1">2147483647</definedName>
    <definedName name="solver_tim" localSheetId="0" hidden="1">2147483647</definedName>
    <definedName name="solver_tim" localSheetId="2" hidden="1">2147483647</definedName>
    <definedName name="solver_tol" localSheetId="3" hidden="1">0.01</definedName>
    <definedName name="solver_tol" localSheetId="0" hidden="1">0.01</definedName>
    <definedName name="solver_tol" localSheetId="2" hidden="1">0.01</definedName>
    <definedName name="solver_typ" localSheetId="3" hidden="1">2</definedName>
    <definedName name="solver_typ" localSheetId="0" hidden="1">2</definedName>
    <definedName name="solver_typ" localSheetId="2" hidden="1">2</definedName>
    <definedName name="solver_val" localSheetId="3" hidden="1">0</definedName>
    <definedName name="solver_val" localSheetId="0" hidden="1">0</definedName>
    <definedName name="solver_val" localSheetId="2" hidden="1">0</definedName>
    <definedName name="solver_ver" localSheetId="3" hidden="1">3</definedName>
    <definedName name="solver_ver" localSheetId="0" hidden="1">3</definedName>
    <definedName name="solver_ver" localSheetId="2" hidden="1">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4" i="9" l="1"/>
  <c r="C5" i="9"/>
  <c r="C3" i="9"/>
  <c r="G11" i="9"/>
  <c r="G12" i="9"/>
  <c r="G13" i="9"/>
  <c r="G14" i="9"/>
  <c r="G15" i="9"/>
  <c r="G10" i="9"/>
  <c r="E11" i="9"/>
  <c r="F11" i="9" s="1"/>
  <c r="E12" i="9"/>
  <c r="F12" i="9" s="1"/>
  <c r="E13" i="9"/>
  <c r="F13" i="9" s="1"/>
  <c r="E14" i="9"/>
  <c r="F14" i="9" s="1"/>
  <c r="E15" i="9"/>
  <c r="F15" i="9" s="1"/>
  <c r="E10" i="9"/>
  <c r="F10" i="9" s="1"/>
  <c r="D3" i="9"/>
  <c r="Q13" i="8"/>
  <c r="C20" i="12" l="1"/>
  <c r="C19" i="12"/>
  <c r="D6" i="10"/>
  <c r="E6" i="10" s="1"/>
  <c r="D7" i="10"/>
  <c r="E7" i="10" s="1"/>
  <c r="N7" i="10" s="1"/>
  <c r="D8" i="10"/>
  <c r="E8" i="10" s="1"/>
  <c r="R20" i="12"/>
  <c r="R19" i="12"/>
  <c r="M7" i="10" l="1"/>
  <c r="L7" i="10"/>
  <c r="M6" i="10"/>
  <c r="L6" i="10"/>
  <c r="L8" i="10"/>
  <c r="M8" i="10"/>
  <c r="N8" i="10"/>
  <c r="N6" i="10"/>
  <c r="I2" i="8"/>
  <c r="H12" i="8"/>
  <c r="J12" i="8" s="1"/>
  <c r="I12" i="8"/>
  <c r="H18" i="8"/>
  <c r="H15" i="8"/>
  <c r="Q14" i="8"/>
  <c r="K14" i="8" s="1"/>
  <c r="Q16" i="8"/>
  <c r="K16" i="8" s="1"/>
  <c r="Q17" i="8"/>
  <c r="K17" i="8" s="1"/>
  <c r="Q19" i="8"/>
  <c r="K19" i="8" s="1"/>
  <c r="Q20" i="8"/>
  <c r="K20" i="8" s="1"/>
  <c r="K13" i="8"/>
  <c r="R13" i="8"/>
  <c r="S13" i="8" s="1"/>
  <c r="R20" i="8"/>
  <c r="S20" i="8" s="1"/>
  <c r="R19" i="8"/>
  <c r="S19" i="8" s="1"/>
  <c r="R17" i="8"/>
  <c r="S17" i="8" s="1"/>
  <c r="R16" i="8"/>
  <c r="S16" i="8" s="1"/>
  <c r="R14" i="8"/>
  <c r="S14" i="8" s="1"/>
  <c r="D5" i="10"/>
  <c r="E5" i="10" s="1"/>
  <c r="D4" i="10"/>
  <c r="E4" i="10" s="1"/>
  <c r="D3" i="10"/>
  <c r="E3" i="10" s="1"/>
  <c r="O6" i="10" l="1"/>
  <c r="P6" i="10" s="1"/>
  <c r="D7" i="11"/>
  <c r="C12" i="10"/>
  <c r="O7" i="10"/>
  <c r="O8" i="10"/>
  <c r="K12" i="8"/>
  <c r="H3" i="9"/>
  <c r="F3" i="9"/>
  <c r="M3" i="10"/>
  <c r="L3" i="10"/>
  <c r="N3" i="10"/>
  <c r="M4" i="10"/>
  <c r="N4" i="10"/>
  <c r="L4" i="10"/>
  <c r="N5" i="10"/>
  <c r="M5" i="10"/>
  <c r="L5" i="10"/>
  <c r="O7" i="11" l="1"/>
  <c r="P7" i="11" s="1"/>
  <c r="P8" i="10"/>
  <c r="C14" i="10"/>
  <c r="P7" i="10"/>
  <c r="C13" i="10"/>
  <c r="C13" i="9"/>
  <c r="D10" i="9"/>
  <c r="D13" i="9"/>
  <c r="E3" i="9"/>
  <c r="E7" i="11" s="1"/>
  <c r="I3" i="9"/>
  <c r="G3" i="9"/>
  <c r="O4" i="10"/>
  <c r="O3" i="10"/>
  <c r="B12" i="10" s="1"/>
  <c r="D12" i="10" s="1"/>
  <c r="E12" i="10" s="1"/>
  <c r="O5" i="10"/>
  <c r="H5" i="8"/>
  <c r="J5" i="8" s="1"/>
  <c r="I5" i="8"/>
  <c r="H6" i="8"/>
  <c r="J6" i="8" s="1"/>
  <c r="I6" i="8"/>
  <c r="H7" i="8"/>
  <c r="J7" i="8" s="1"/>
  <c r="I7" i="8"/>
  <c r="J15" i="8"/>
  <c r="I15" i="8"/>
  <c r="H4" i="9"/>
  <c r="D14" i="9" s="1"/>
  <c r="H8" i="8"/>
  <c r="J8" i="8" s="1"/>
  <c r="I8" i="8"/>
  <c r="H9" i="8"/>
  <c r="J9" i="8" s="1"/>
  <c r="I9" i="8"/>
  <c r="K9" i="8" s="1"/>
  <c r="H10" i="8"/>
  <c r="J10" i="8" s="1"/>
  <c r="I10" i="8"/>
  <c r="J18" i="8"/>
  <c r="I18" i="8"/>
  <c r="H5" i="9"/>
  <c r="D15" i="9" s="1"/>
  <c r="P5" i="10" l="1"/>
  <c r="B14" i="10"/>
  <c r="D14" i="10" s="1"/>
  <c r="E13" i="10"/>
  <c r="E15" i="10" s="1"/>
  <c r="P4" i="10"/>
  <c r="B13" i="10"/>
  <c r="D13" i="10" s="1"/>
  <c r="E14" i="10"/>
  <c r="F14" i="10"/>
  <c r="F13" i="10"/>
  <c r="P3" i="10"/>
  <c r="F12" i="10"/>
  <c r="D4" i="11"/>
  <c r="O4" i="11" s="1"/>
  <c r="P4" i="11" s="1"/>
  <c r="H4" i="11"/>
  <c r="S4" i="11" s="1"/>
  <c r="T4" i="11" s="1"/>
  <c r="F4" i="11"/>
  <c r="Q4" i="11" s="1"/>
  <c r="R4" i="11" s="1"/>
  <c r="K18" i="8"/>
  <c r="D5" i="9" s="1"/>
  <c r="D9" i="11" s="1"/>
  <c r="K6" i="8"/>
  <c r="K15" i="8"/>
  <c r="D4" i="9" s="1"/>
  <c r="D8" i="11" s="1"/>
  <c r="F5" i="9"/>
  <c r="K10" i="8"/>
  <c r="K8" i="8"/>
  <c r="B5" i="9" s="1"/>
  <c r="F4" i="9"/>
  <c r="K7" i="8"/>
  <c r="K5" i="8"/>
  <c r="H6" i="11"/>
  <c r="S6" i="11" s="1"/>
  <c r="I5" i="9"/>
  <c r="H5" i="11"/>
  <c r="S5" i="11" s="1"/>
  <c r="I4" i="9"/>
  <c r="B4" i="9" l="1"/>
  <c r="E9" i="11"/>
  <c r="O8" i="11"/>
  <c r="P8" i="11" s="1"/>
  <c r="O9" i="11"/>
  <c r="P9" i="11" s="1"/>
  <c r="F15" i="10"/>
  <c r="G15" i="10" s="1"/>
  <c r="O18" i="11"/>
  <c r="O15" i="11"/>
  <c r="E4" i="11"/>
  <c r="N18" i="11"/>
  <c r="P18" i="11" s="1"/>
  <c r="G4" i="11"/>
  <c r="I4" i="11"/>
  <c r="T5" i="11"/>
  <c r="O19" i="11"/>
  <c r="T6" i="11"/>
  <c r="O20" i="11"/>
  <c r="F5" i="11"/>
  <c r="Q5" i="11" s="1"/>
  <c r="C14" i="9"/>
  <c r="E4" i="9"/>
  <c r="E8" i="11" s="1"/>
  <c r="D11" i="9"/>
  <c r="E5" i="9"/>
  <c r="D12" i="9"/>
  <c r="G5" i="9"/>
  <c r="C15" i="9"/>
  <c r="D6" i="11"/>
  <c r="D5" i="11"/>
  <c r="O5" i="11" s="1"/>
  <c r="G4" i="9"/>
  <c r="F6" i="11"/>
  <c r="B9" i="11"/>
  <c r="B8" i="11"/>
  <c r="I6" i="11"/>
  <c r="I5" i="11"/>
  <c r="M8" i="11" l="1"/>
  <c r="N8" i="11" s="1"/>
  <c r="M9" i="11"/>
  <c r="N9" i="11" s="1"/>
  <c r="Q18" i="11"/>
  <c r="R5" i="11"/>
  <c r="N19" i="11"/>
  <c r="P19" i="11" s="1"/>
  <c r="Q19" i="11" s="1"/>
  <c r="G5" i="11"/>
  <c r="P5" i="11"/>
  <c r="O16" i="11"/>
  <c r="B5" i="11"/>
  <c r="M5" i="11" s="1"/>
  <c r="C11" i="9"/>
  <c r="E5" i="11"/>
  <c r="B6" i="11"/>
  <c r="M6" i="11" s="1"/>
  <c r="C12" i="9"/>
  <c r="G6" i="11"/>
  <c r="Q6" i="11"/>
  <c r="E6" i="11"/>
  <c r="O6" i="11"/>
  <c r="I3" i="8"/>
  <c r="I4" i="8"/>
  <c r="G16" i="9" l="1"/>
  <c r="P6" i="11"/>
  <c r="O17" i="11"/>
  <c r="R15" i="11" s="1"/>
  <c r="N5" i="11"/>
  <c r="N16" i="11"/>
  <c r="P16" i="11" s="1"/>
  <c r="Q16" i="11" s="1"/>
  <c r="R6" i="11"/>
  <c r="N20" i="11"/>
  <c r="P20" i="11" s="1"/>
  <c r="Q20" i="11" s="1"/>
  <c r="N6" i="11"/>
  <c r="N17" i="11"/>
  <c r="P17" i="11" s="1"/>
  <c r="H4" i="8"/>
  <c r="J4" i="8" s="1"/>
  <c r="K4" i="8" s="1"/>
  <c r="H3" i="8"/>
  <c r="J3" i="8" s="1"/>
  <c r="K3" i="8" s="1"/>
  <c r="H2" i="8"/>
  <c r="R19" i="11" l="1"/>
  <c r="R18" i="11"/>
  <c r="R20" i="11"/>
  <c r="R17" i="11"/>
  <c r="Q17" i="11"/>
  <c r="R16" i="11"/>
  <c r="J2" i="8"/>
  <c r="K2" i="8" s="1"/>
  <c r="C8" i="11" l="1"/>
  <c r="B3" i="9"/>
  <c r="C9" i="11"/>
  <c r="R21" i="11"/>
  <c r="C5" i="11"/>
  <c r="C6" i="11" l="1"/>
  <c r="C10" i="9"/>
  <c r="F16" i="9" s="1"/>
  <c r="B7" i="11"/>
  <c r="B4" i="11"/>
  <c r="M7" i="11" l="1"/>
  <c r="N7" i="11" s="1"/>
  <c r="C7" i="11"/>
  <c r="M4" i="11"/>
  <c r="C4" i="11"/>
  <c r="N4" i="11" l="1"/>
  <c r="N15" i="11"/>
  <c r="P15" i="11" s="1"/>
  <c r="Q15" i="11" s="1"/>
  <c r="Q21" i="11" s="1"/>
  <c r="S21" i="11" s="1"/>
  <c r="H16" i="9" l="1"/>
</calcChain>
</file>

<file path=xl/sharedStrings.xml><?xml version="1.0" encoding="utf-8"?>
<sst xmlns="http://schemas.openxmlformats.org/spreadsheetml/2006/main" count="222" uniqueCount="53">
  <si>
    <t>Test</t>
  </si>
  <si>
    <t>A</t>
  </si>
  <si>
    <t>B</t>
  </si>
  <si>
    <t>C</t>
  </si>
  <si>
    <t>U [V]</t>
  </si>
  <si>
    <t>I [mA]</t>
  </si>
  <si>
    <t>Distance [mm]</t>
  </si>
  <si>
    <r>
      <t>Cross section area [mm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>]</t>
    </r>
  </si>
  <si>
    <t>Re [Ω]</t>
  </si>
  <si>
    <r>
      <t>F</t>
    </r>
    <r>
      <rPr>
        <b/>
        <vertAlign val="subscript"/>
        <sz val="11"/>
        <color theme="1"/>
        <rFont val="Calibri"/>
        <family val="2"/>
        <scheme val="minor"/>
      </rPr>
      <t>gv</t>
    </r>
    <r>
      <rPr>
        <b/>
        <sz val="11"/>
        <color theme="1"/>
        <rFont val="Calibri"/>
        <family val="2"/>
        <scheme val="minor"/>
      </rPr>
      <t xml:space="preserve"> [m]</t>
    </r>
  </si>
  <si>
    <t>Curing</t>
  </si>
  <si>
    <t>Sealed</t>
  </si>
  <si>
    <t>PCC35</t>
  </si>
  <si>
    <t>PCC50</t>
  </si>
  <si>
    <t>Paste</t>
  </si>
  <si>
    <t>Concrete</t>
  </si>
  <si>
    <t>Immersed</t>
  </si>
  <si>
    <t>Paste - sealed</t>
  </si>
  <si>
    <t>Paste - immersed</t>
  </si>
  <si>
    <t>Concrete - sealed</t>
  </si>
  <si>
    <t>Concrete - immersed</t>
  </si>
  <si>
    <r>
      <rPr>
        <b/>
        <sz val="11"/>
        <color theme="1"/>
        <rFont val="Calibri"/>
        <family val="2"/>
      </rPr>
      <t>σ</t>
    </r>
    <r>
      <rPr>
        <b/>
        <sz val="11"/>
        <color theme="1"/>
        <rFont val="Calibri"/>
        <family val="2"/>
        <scheme val="minor"/>
      </rPr>
      <t xml:space="preserve"> [mS/m]</t>
    </r>
  </si>
  <si>
    <t>Mix ID</t>
  </si>
  <si>
    <t>Concentrations [mol/L]</t>
  </si>
  <si>
    <t>Ionic strength</t>
  </si>
  <si>
    <t>z*Lambda_0 [cm2*S/mol]</t>
  </si>
  <si>
    <t>Gi [(mol/L)^0.5]</t>
  </si>
  <si>
    <t>z*Lambda_i [cm2*S/mol]</t>
  </si>
  <si>
    <t>Na</t>
  </si>
  <si>
    <t>K</t>
  </si>
  <si>
    <t>OH</t>
  </si>
  <si>
    <t>LA</t>
  </si>
  <si>
    <t>Avg [-]</t>
  </si>
  <si>
    <t>Std</t>
  </si>
  <si>
    <t>Conductivity [S/m]</t>
  </si>
  <si>
    <t>Avg</t>
  </si>
  <si>
    <t>Bulk</t>
  </si>
  <si>
    <t>Corrected</t>
  </si>
  <si>
    <t>Surface</t>
  </si>
  <si>
    <r>
      <t>Resistivity [k</t>
    </r>
    <r>
      <rPr>
        <sz val="11"/>
        <color theme="1"/>
        <rFont val="Arial"/>
        <family val="2"/>
      </rPr>
      <t>Ω</t>
    </r>
    <r>
      <rPr>
        <sz val="9.35"/>
        <color theme="1"/>
        <rFont val="Calibri"/>
        <family val="2"/>
      </rPr>
      <t>.cm]</t>
    </r>
  </si>
  <si>
    <t>FF [-]</t>
  </si>
  <si>
    <t>1/FF [-]</t>
  </si>
  <si>
    <t>Avg [mS/m]</t>
  </si>
  <si>
    <t>a</t>
  </si>
  <si>
    <t>b</t>
  </si>
  <si>
    <t>Calc</t>
  </si>
  <si>
    <t>SSR</t>
  </si>
  <si>
    <t>TSS</t>
  </si>
  <si>
    <t>R2</t>
  </si>
  <si>
    <t>Sum</t>
  </si>
  <si>
    <t>CWE</t>
  </si>
  <si>
    <t>PWE</t>
  </si>
  <si>
    <t>PC-LA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</si>
</sst>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"/>
    <numFmt numFmtId="166" formatCode="0.0000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vertAlign val="subscript"/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b/>
      <vertAlign val="superscript"/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9.35"/>
      <color theme="1"/>
      <name val="Calibri"/>
      <family val="2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2" fontId="0" fillId="0" borderId="1" xfId="0" applyNumberFormat="1" applyBorder="1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16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0" fontId="1" fillId="2" borderId="1" xfId="0" applyFont="1" applyFill="1" applyBorder="1" applyAlignment="1">
      <alignment horizontal="center"/>
    </xf>
    <xf numFmtId="165" fontId="0" fillId="0" borderId="1" xfId="0" applyNumberFormat="1" applyBorder="1"/>
    <xf numFmtId="165" fontId="0" fillId="0" borderId="1" xfId="0" applyNumberFormat="1" applyBorder="1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2" fontId="0" fillId="0" borderId="0" xfId="0" applyNumberFormat="1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0" fillId="2" borderId="1" xfId="0" applyFill="1" applyBorder="1" applyAlignment="1">
      <alignment vertical="center"/>
    </xf>
    <xf numFmtId="164" fontId="0" fillId="0" borderId="1" xfId="0" applyNumberFormat="1" applyBorder="1" applyAlignment="1">
      <alignment vertical="center"/>
    </xf>
    <xf numFmtId="165" fontId="0" fillId="0" borderId="1" xfId="0" applyNumberFormat="1" applyFont="1" applyFill="1" applyBorder="1" applyAlignment="1">
      <alignment horizontal="center" vertical="center"/>
    </xf>
    <xf numFmtId="166" fontId="0" fillId="0" borderId="1" xfId="0" applyNumberFormat="1" applyFont="1" applyFill="1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164" fontId="8" fillId="0" borderId="1" xfId="0" applyNumberFormat="1" applyFont="1" applyBorder="1" applyAlignment="1">
      <alignment vertical="center"/>
    </xf>
    <xf numFmtId="2" fontId="8" fillId="2" borderId="1" xfId="0" applyNumberFormat="1" applyFont="1" applyFill="1" applyBorder="1" applyAlignment="1">
      <alignment vertical="center"/>
    </xf>
    <xf numFmtId="0" fontId="9" fillId="2" borderId="1" xfId="0" applyFont="1" applyFill="1" applyBorder="1" applyAlignment="1">
      <alignment vertical="center"/>
    </xf>
    <xf numFmtId="2" fontId="9" fillId="2" borderId="1" xfId="0" applyNumberFormat="1" applyFont="1" applyFill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A7A7"/>
      <color rgb="FFACCCEA"/>
      <color rgb="FF2E75B6"/>
      <color rgb="FFD60000"/>
      <color rgb="FF94BEE4"/>
      <color rgb="FFFFE89F"/>
      <color rgb="FFFFF2CC"/>
      <color rgb="FFFFD7D7"/>
      <color rgb="FFFFC8C8"/>
      <color rgb="FFFFB7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824529585444122"/>
          <c:y val="7.9375000000000001E-2"/>
          <c:w val="0.78425477124205656"/>
          <c:h val="0.79537430555555555"/>
        </c:manualLayout>
      </c:layout>
      <c:scatterChart>
        <c:scatterStyle val="lineMarker"/>
        <c:varyColors val="0"/>
        <c:ser>
          <c:idx val="0"/>
          <c:order val="0"/>
          <c:tx>
            <c:v>Sealed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 w="6350">
                <a:solidFill>
                  <a:schemeClr val="tx1"/>
                </a:solidFill>
              </a:ln>
              <a:effectLst/>
            </c:spPr>
          </c:marker>
          <c:trendline>
            <c:spPr>
              <a:ln w="6350" cap="rnd">
                <a:solidFill>
                  <a:schemeClr val="tx1"/>
                </a:solidFill>
                <a:prstDash val="lgDash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18280404435237668"/>
                  <c:y val="0.13774756944444444"/>
                </c:manualLayout>
              </c:layout>
              <c:numFmt formatCode="#,##0.00" sourceLinked="0"/>
              <c:spPr>
                <a:noFill/>
                <a:ln w="6350">
                  <a:noFill/>
                  <a:prstDash val="lgDash"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</c:trendlineLbl>
          </c:trendline>
          <c:errBars>
            <c:errDir val="x"/>
            <c:errBarType val="both"/>
            <c:errValType val="cust"/>
            <c:noEndCap val="0"/>
            <c:plus>
              <c:numRef>
                <c:f>'Summary bulk conductivity'!$C$3:$C$5</c:f>
                <c:numCache>
                  <c:formatCode>General</c:formatCode>
                  <c:ptCount val="3"/>
                  <c:pt idx="0">
                    <c:v>3.9412037167275535</c:v>
                  </c:pt>
                  <c:pt idx="1">
                    <c:v>1.9243285747651175</c:v>
                  </c:pt>
                  <c:pt idx="2">
                    <c:v>1.4447646551743811</c:v>
                  </c:pt>
                </c:numCache>
              </c:numRef>
            </c:plus>
            <c:minus>
              <c:numRef>
                <c:f>'Summary bulk conductivity'!$C$3:$C$5</c:f>
                <c:numCache>
                  <c:formatCode>General</c:formatCode>
                  <c:ptCount val="3"/>
                  <c:pt idx="0">
                    <c:v>3.9412037167275535</c:v>
                  </c:pt>
                  <c:pt idx="1">
                    <c:v>1.9243285747651175</c:v>
                  </c:pt>
                  <c:pt idx="2">
                    <c:v>1.4447646551743811</c:v>
                  </c:pt>
                </c:numCache>
              </c:numRef>
            </c:minus>
            <c:spPr>
              <a:noFill/>
              <a:ln w="6350" cap="flat" cmpd="sng" algn="ctr">
                <a:solidFill>
                  <a:schemeClr val="tx1"/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'Summary bulk conductivity'!$G$3:$G$5</c:f>
                <c:numCache>
                  <c:formatCode>General</c:formatCode>
                  <c:ptCount val="3"/>
                  <c:pt idx="0">
                    <c:v>0.81096423647717131</c:v>
                  </c:pt>
                  <c:pt idx="1">
                    <c:v>0.58028201706029137</c:v>
                  </c:pt>
                  <c:pt idx="2">
                    <c:v>0.48959608323133419</c:v>
                  </c:pt>
                </c:numCache>
              </c:numRef>
            </c:plus>
            <c:minus>
              <c:numRef>
                <c:f>'Summary bulk conductivity'!$G$3:$G$5</c:f>
                <c:numCache>
                  <c:formatCode>General</c:formatCode>
                  <c:ptCount val="3"/>
                  <c:pt idx="0">
                    <c:v>0.81096423647717131</c:v>
                  </c:pt>
                  <c:pt idx="1">
                    <c:v>0.58028201706029137</c:v>
                  </c:pt>
                  <c:pt idx="2">
                    <c:v>0.48959608323133419</c:v>
                  </c:pt>
                </c:numCache>
              </c:numRef>
            </c:minus>
            <c:spPr>
              <a:noFill/>
              <a:ln w="6350" cap="flat" cmpd="sng" algn="ctr">
                <a:solidFill>
                  <a:schemeClr val="tx1"/>
                </a:solidFill>
                <a:round/>
              </a:ln>
              <a:effectLst/>
            </c:spPr>
          </c:errBars>
          <c:xVal>
            <c:numRef>
              <c:f>('Summary bulk conductivity'!$B$3,'Summary bulk conductivity'!$B$4:$B$5)</c:f>
              <c:numCache>
                <c:formatCode>0.0</c:formatCode>
                <c:ptCount val="3"/>
                <c:pt idx="0">
                  <c:v>78.824074334551071</c:v>
                </c:pt>
                <c:pt idx="1">
                  <c:v>38.48657149530235</c:v>
                </c:pt>
                <c:pt idx="2">
                  <c:v>28.895293103487621</c:v>
                </c:pt>
              </c:numCache>
            </c:numRef>
          </c:xVal>
          <c:yVal>
            <c:numRef>
              <c:f>('Summary bulk conductivity'!$F$3,'Summary bulk conductivity'!$F$4:$F$5)</c:f>
              <c:numCache>
                <c:formatCode>0.0</c:formatCode>
                <c:ptCount val="3"/>
                <c:pt idx="0">
                  <c:v>16.219284729543425</c:v>
                </c:pt>
                <c:pt idx="1">
                  <c:v>11.605640341205827</c:v>
                </c:pt>
                <c:pt idx="2">
                  <c:v>9.7919216646266829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D6CC-4B5B-8DE5-023744270FB7}"/>
            </c:ext>
          </c:extLst>
        </c:ser>
        <c:ser>
          <c:idx val="1"/>
          <c:order val="1"/>
          <c:tx>
            <c:v>Immersed</c:v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5"/>
            <c:spPr>
              <a:solidFill>
                <a:schemeClr val="bg1"/>
              </a:solidFill>
              <a:ln w="6350">
                <a:solidFill>
                  <a:schemeClr val="tx1"/>
                </a:solidFill>
              </a:ln>
              <a:effectLst/>
            </c:spPr>
          </c:marker>
          <c:trendline>
            <c:spPr>
              <a:ln w="6350" cap="rnd">
                <a:solidFill>
                  <a:schemeClr val="tx1"/>
                </a:solidFill>
                <a:prstDash val="sysDash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23065647539680992"/>
                  <c:y val="0.14234791666666666"/>
                </c:manualLayout>
              </c:layout>
              <c:numFmt formatCode="#,##0.00" sourceLinked="0"/>
              <c:spPr>
                <a:noFill/>
                <a:ln w="6350">
                  <a:noFill/>
                  <a:prstDash val="sysDash"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</c:trendlineLbl>
          </c:trendline>
          <c:errBars>
            <c:errDir val="x"/>
            <c:errBarType val="both"/>
            <c:errValType val="cust"/>
            <c:noEndCap val="0"/>
            <c:plus>
              <c:numRef>
                <c:f>'Summary bulk conductivity'!$E$3:$E$5</c:f>
                <c:numCache>
                  <c:formatCode>General</c:formatCode>
                  <c:ptCount val="3"/>
                  <c:pt idx="0">
                    <c:v>5.2613204327899288</c:v>
                  </c:pt>
                  <c:pt idx="1">
                    <c:v>2.7629280485042083</c:v>
                  </c:pt>
                  <c:pt idx="2">
                    <c:v>1.9590022888047607</c:v>
                  </c:pt>
                </c:numCache>
              </c:numRef>
            </c:plus>
            <c:minus>
              <c:numRef>
                <c:f>'Summary bulk conductivity'!$E$3:$E$5</c:f>
                <c:numCache>
                  <c:formatCode>General</c:formatCode>
                  <c:ptCount val="3"/>
                  <c:pt idx="0">
                    <c:v>5.2613204327899288</c:v>
                  </c:pt>
                  <c:pt idx="1">
                    <c:v>2.7629280485042083</c:v>
                  </c:pt>
                  <c:pt idx="2">
                    <c:v>1.9590022888047607</c:v>
                  </c:pt>
                </c:numCache>
              </c:numRef>
            </c:minus>
            <c:spPr>
              <a:noFill/>
              <a:ln w="6350" cap="flat" cmpd="sng" algn="ctr">
                <a:solidFill>
                  <a:schemeClr val="tx1"/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'Summary bulk conductivity'!$I$3:$I$5</c:f>
                <c:numCache>
                  <c:formatCode>General</c:formatCode>
                  <c:ptCount val="3"/>
                  <c:pt idx="0">
                    <c:v>1.2774655084312725</c:v>
                  </c:pt>
                  <c:pt idx="1">
                    <c:v>0.82884376295068385</c:v>
                  </c:pt>
                  <c:pt idx="2">
                    <c:v>0.5854458169896376</c:v>
                  </c:pt>
                </c:numCache>
              </c:numRef>
            </c:plus>
            <c:minus>
              <c:numRef>
                <c:f>'Summary bulk conductivity'!$I$3:$I$5</c:f>
                <c:numCache>
                  <c:formatCode>General</c:formatCode>
                  <c:ptCount val="3"/>
                  <c:pt idx="0">
                    <c:v>1.2774655084312725</c:v>
                  </c:pt>
                  <c:pt idx="1">
                    <c:v>0.82884376295068385</c:v>
                  </c:pt>
                  <c:pt idx="2">
                    <c:v>0.5854458169896376</c:v>
                  </c:pt>
                </c:numCache>
              </c:numRef>
            </c:minus>
            <c:spPr>
              <a:noFill/>
              <a:ln w="6350" cap="flat" cmpd="sng" algn="ctr">
                <a:solidFill>
                  <a:schemeClr val="tx1"/>
                </a:solidFill>
                <a:round/>
              </a:ln>
              <a:effectLst/>
            </c:spPr>
          </c:errBars>
          <c:xVal>
            <c:numRef>
              <c:f>('Summary bulk conductivity'!$D$3,'Summary bulk conductivity'!$D$4:$D$5)</c:f>
              <c:numCache>
                <c:formatCode>0.0</c:formatCode>
                <c:ptCount val="3"/>
                <c:pt idx="0">
                  <c:v>105.22640865579856</c:v>
                </c:pt>
                <c:pt idx="1">
                  <c:v>55.258560970084162</c:v>
                </c:pt>
                <c:pt idx="2">
                  <c:v>39.180045776095213</c:v>
                </c:pt>
              </c:numCache>
            </c:numRef>
          </c:xVal>
          <c:yVal>
            <c:numRef>
              <c:f>('Summary bulk conductivity'!$H$3,'Summary bulk conductivity'!$H$4:$H$5)</c:f>
              <c:numCache>
                <c:formatCode>0.0</c:formatCode>
                <c:ptCount val="3"/>
                <c:pt idx="0">
                  <c:v>25.549310168625446</c:v>
                </c:pt>
                <c:pt idx="1">
                  <c:v>16.576875259013676</c:v>
                </c:pt>
                <c:pt idx="2">
                  <c:v>11.708916339792752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D6CC-4B5B-8DE5-023744270F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94041976"/>
        <c:axId val="794047880"/>
      </c:scatterChart>
      <c:valAx>
        <c:axId val="79404197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l-GR" sz="800" b="0" i="0" u="none" strike="noStrike" baseline="0">
                    <a:effectLst/>
                  </a:rPr>
                  <a:t>σ</a:t>
                </a:r>
                <a:r>
                  <a:rPr lang="da-DK" sz="800" b="0" i="0" u="none" strike="noStrike" baseline="-25000">
                    <a:effectLst/>
                  </a:rPr>
                  <a:t>b</a:t>
                </a:r>
                <a:r>
                  <a:rPr lang="en-GB"/>
                  <a:t> paste [mS/m]</a:t>
                </a:r>
              </a:p>
            </c:rich>
          </c:tx>
          <c:layout>
            <c:manualLayout>
              <c:xMode val="edge"/>
              <c:yMode val="edge"/>
              <c:x val="0.64897332860330781"/>
              <c:y val="0.9461791666666666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" sourceLinked="0"/>
        <c:majorTickMark val="in"/>
        <c:minorTickMark val="none"/>
        <c:tickLblPos val="nextTo"/>
        <c:spPr>
          <a:noFill/>
          <a:ln w="6350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794047880"/>
        <c:crosses val="autoZero"/>
        <c:crossBetween val="midCat"/>
      </c:valAx>
      <c:valAx>
        <c:axId val="794047880"/>
        <c:scaling>
          <c:orientation val="minMax"/>
        </c:scaling>
        <c:delete val="0"/>
        <c:axPos val="l"/>
        <c:numFmt formatCode="0" sourceLinked="0"/>
        <c:majorTickMark val="in"/>
        <c:minorTickMark val="none"/>
        <c:tickLblPos val="nextTo"/>
        <c:spPr>
          <a:noFill/>
          <a:ln w="6350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794041976"/>
        <c:crosses val="autoZero"/>
        <c:crossBetween val="midCat"/>
      </c:valAx>
      <c:spPr>
        <a:noFill/>
        <a:ln w="6350">
          <a:solidFill>
            <a:sysClr val="windowText" lastClr="000000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8359375"/>
          <c:y val="9.2604166666666668E-2"/>
          <c:w val="0.80630347222222221"/>
          <c:h val="0.79537430555555555"/>
        </c:manualLayout>
      </c:layout>
      <c:scatterChart>
        <c:scatterStyle val="lineMarker"/>
        <c:varyColors val="0"/>
        <c:ser>
          <c:idx val="2"/>
          <c:order val="0"/>
          <c:tx>
            <c:v>Trend line</c:v>
          </c:tx>
          <c:spPr>
            <a:ln w="6350" cap="rnd">
              <a:solidFill>
                <a:schemeClr val="tx1"/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Graphs!$Q$19:$Q$20</c:f>
              <c:numCache>
                <c:formatCode>General</c:formatCode>
                <c:ptCount val="2"/>
                <c:pt idx="0">
                  <c:v>0</c:v>
                </c:pt>
                <c:pt idx="1">
                  <c:v>120</c:v>
                </c:pt>
              </c:numCache>
            </c:numRef>
          </c:xVal>
          <c:yVal>
            <c:numRef>
              <c:f>Graphs!$R$19:$R$20</c:f>
              <c:numCache>
                <c:formatCode>0.0</c:formatCode>
                <c:ptCount val="2"/>
                <c:pt idx="0" formatCode="General">
                  <c:v>0</c:v>
                </c:pt>
                <c:pt idx="1">
                  <c:v>88.064707166801909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FDC1-4024-9163-E778832D64BE}"/>
            </c:ext>
          </c:extLst>
        </c:ser>
        <c:ser>
          <c:idx val="0"/>
          <c:order val="1"/>
          <c:tx>
            <c:v>Paste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 w="6350">
                <a:solidFill>
                  <a:schemeClr val="tx1"/>
                </a:solidFill>
              </a:ln>
              <a:effectLst/>
            </c:spPr>
          </c:marker>
          <c:errBars>
            <c:errDir val="x"/>
            <c:errBarType val="both"/>
            <c:errValType val="cust"/>
            <c:noEndCap val="0"/>
            <c:plus>
              <c:numRef>
                <c:f>'Summary bulk conductivity'!$E$3:$E$5</c:f>
                <c:numCache>
                  <c:formatCode>General</c:formatCode>
                  <c:ptCount val="3"/>
                  <c:pt idx="0">
                    <c:v>5.2613204327899288</c:v>
                  </c:pt>
                  <c:pt idx="1">
                    <c:v>2.7629280485042083</c:v>
                  </c:pt>
                  <c:pt idx="2">
                    <c:v>1.9590022888047607</c:v>
                  </c:pt>
                </c:numCache>
              </c:numRef>
            </c:plus>
            <c:minus>
              <c:numRef>
                <c:f>'Summary bulk conductivity'!$E$3:$E$5</c:f>
                <c:numCache>
                  <c:formatCode>General</c:formatCode>
                  <c:ptCount val="3"/>
                  <c:pt idx="0">
                    <c:v>5.2613204327899288</c:v>
                  </c:pt>
                  <c:pt idx="1">
                    <c:v>2.7629280485042083</c:v>
                  </c:pt>
                  <c:pt idx="2">
                    <c:v>1.9590022888047607</c:v>
                  </c:pt>
                </c:numCache>
              </c:numRef>
            </c:minus>
            <c:spPr>
              <a:noFill/>
              <a:ln w="6350" cap="flat" cmpd="sng" algn="ctr">
                <a:solidFill>
                  <a:schemeClr val="tx1"/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'Summary bulk conductivity'!$C$3:$C$5</c:f>
                <c:numCache>
                  <c:formatCode>General</c:formatCode>
                  <c:ptCount val="3"/>
                  <c:pt idx="0">
                    <c:v>3.9412037167275535</c:v>
                  </c:pt>
                  <c:pt idx="1">
                    <c:v>1.9243285747651175</c:v>
                  </c:pt>
                  <c:pt idx="2">
                    <c:v>1.4447646551743811</c:v>
                  </c:pt>
                </c:numCache>
              </c:numRef>
            </c:plus>
            <c:minus>
              <c:numRef>
                <c:f>'Summary bulk conductivity'!$C$3:$C$5</c:f>
                <c:numCache>
                  <c:formatCode>General</c:formatCode>
                  <c:ptCount val="3"/>
                  <c:pt idx="0">
                    <c:v>3.9412037167275535</c:v>
                  </c:pt>
                  <c:pt idx="1">
                    <c:v>1.9243285747651175</c:v>
                  </c:pt>
                  <c:pt idx="2">
                    <c:v>1.4447646551743811</c:v>
                  </c:pt>
                </c:numCache>
              </c:numRef>
            </c:minus>
            <c:spPr>
              <a:noFill/>
              <a:ln w="6350" cap="flat" cmpd="sng" algn="ctr">
                <a:solidFill>
                  <a:schemeClr val="tx1"/>
                </a:solidFill>
                <a:round/>
              </a:ln>
              <a:effectLst/>
            </c:spPr>
          </c:errBars>
          <c:xVal>
            <c:numRef>
              <c:f>('Summary bulk conductivity'!$D$3,'Summary bulk conductivity'!$D$4:$D$5)</c:f>
              <c:numCache>
                <c:formatCode>0.0</c:formatCode>
                <c:ptCount val="3"/>
                <c:pt idx="0">
                  <c:v>105.22640865579856</c:v>
                </c:pt>
                <c:pt idx="1">
                  <c:v>55.258560970084162</c:v>
                </c:pt>
                <c:pt idx="2">
                  <c:v>39.180045776095213</c:v>
                </c:pt>
              </c:numCache>
            </c:numRef>
          </c:xVal>
          <c:yVal>
            <c:numRef>
              <c:f>('Summary bulk conductivity'!$B$3,'Summary bulk conductivity'!$B$4:$B$5)</c:f>
              <c:numCache>
                <c:formatCode>0.0</c:formatCode>
                <c:ptCount val="3"/>
                <c:pt idx="0">
                  <c:v>78.824074334551071</c:v>
                </c:pt>
                <c:pt idx="1">
                  <c:v>38.48657149530235</c:v>
                </c:pt>
                <c:pt idx="2">
                  <c:v>28.895293103487621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DC1-4024-9163-E778832D64BE}"/>
            </c:ext>
          </c:extLst>
        </c:ser>
        <c:ser>
          <c:idx val="1"/>
          <c:order val="2"/>
          <c:tx>
            <c:v>Concrete</c:v>
          </c:tx>
          <c:spPr>
            <a:ln w="19050" cap="rnd">
              <a:noFill/>
              <a:round/>
            </a:ln>
            <a:effectLst/>
          </c:spPr>
          <c:marker>
            <c:symbol val="triangle"/>
            <c:size val="5"/>
            <c:spPr>
              <a:solidFill>
                <a:schemeClr val="bg1"/>
              </a:solidFill>
              <a:ln w="6350">
                <a:solidFill>
                  <a:schemeClr val="tx1"/>
                </a:solidFill>
              </a:ln>
              <a:effectLst/>
            </c:spPr>
          </c:marker>
          <c:errBars>
            <c:errDir val="x"/>
            <c:errBarType val="both"/>
            <c:errValType val="cust"/>
            <c:noEndCap val="0"/>
            <c:plus>
              <c:numRef>
                <c:f>'Summary bulk conductivity'!$I$3:$I$5</c:f>
                <c:numCache>
                  <c:formatCode>General</c:formatCode>
                  <c:ptCount val="3"/>
                  <c:pt idx="0">
                    <c:v>1.2774655084312725</c:v>
                  </c:pt>
                  <c:pt idx="1">
                    <c:v>0.82884376295068385</c:v>
                  </c:pt>
                  <c:pt idx="2">
                    <c:v>0.5854458169896376</c:v>
                  </c:pt>
                </c:numCache>
              </c:numRef>
            </c:plus>
            <c:minus>
              <c:numRef>
                <c:f>'Summary bulk conductivity'!$I$3:$I$5</c:f>
                <c:numCache>
                  <c:formatCode>General</c:formatCode>
                  <c:ptCount val="3"/>
                  <c:pt idx="0">
                    <c:v>1.2774655084312725</c:v>
                  </c:pt>
                  <c:pt idx="1">
                    <c:v>0.82884376295068385</c:v>
                  </c:pt>
                  <c:pt idx="2">
                    <c:v>0.5854458169896376</c:v>
                  </c:pt>
                </c:numCache>
              </c:numRef>
            </c:minus>
            <c:spPr>
              <a:noFill/>
              <a:ln w="6350" cap="flat" cmpd="sng" algn="ctr">
                <a:solidFill>
                  <a:schemeClr val="tx1"/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'Summary bulk conductivity'!$G$3:$G$5</c:f>
                <c:numCache>
                  <c:formatCode>General</c:formatCode>
                  <c:ptCount val="3"/>
                  <c:pt idx="0">
                    <c:v>0.81096423647717131</c:v>
                  </c:pt>
                  <c:pt idx="1">
                    <c:v>0.58028201706029137</c:v>
                  </c:pt>
                  <c:pt idx="2">
                    <c:v>0.48959608323133419</c:v>
                  </c:pt>
                </c:numCache>
              </c:numRef>
            </c:plus>
            <c:minus>
              <c:numRef>
                <c:f>'Summary bulk conductivity'!$G$3:$G$5</c:f>
                <c:numCache>
                  <c:formatCode>General</c:formatCode>
                  <c:ptCount val="3"/>
                  <c:pt idx="0">
                    <c:v>0.81096423647717131</c:v>
                  </c:pt>
                  <c:pt idx="1">
                    <c:v>0.58028201706029137</c:v>
                  </c:pt>
                  <c:pt idx="2">
                    <c:v>0.48959608323133419</c:v>
                  </c:pt>
                </c:numCache>
              </c:numRef>
            </c:minus>
            <c:spPr>
              <a:noFill/>
              <a:ln w="6350" cap="flat" cmpd="sng" algn="ctr">
                <a:solidFill>
                  <a:schemeClr val="tx1"/>
                </a:solidFill>
                <a:round/>
              </a:ln>
              <a:effectLst/>
            </c:spPr>
          </c:errBars>
          <c:xVal>
            <c:numRef>
              <c:f>('Summary bulk conductivity'!$H$3,'Summary bulk conductivity'!$H$4:$H$5)</c:f>
              <c:numCache>
                <c:formatCode>0.0</c:formatCode>
                <c:ptCount val="3"/>
                <c:pt idx="0">
                  <c:v>25.549310168625446</c:v>
                </c:pt>
                <c:pt idx="1">
                  <c:v>16.576875259013676</c:v>
                </c:pt>
                <c:pt idx="2">
                  <c:v>11.708916339792752</c:v>
                </c:pt>
              </c:numCache>
            </c:numRef>
          </c:xVal>
          <c:yVal>
            <c:numRef>
              <c:f>('Summary bulk conductivity'!$F$3,'Summary bulk conductivity'!$F$4:$F$5)</c:f>
              <c:numCache>
                <c:formatCode>0.0</c:formatCode>
                <c:ptCount val="3"/>
                <c:pt idx="0">
                  <c:v>16.219284729543425</c:v>
                </c:pt>
                <c:pt idx="1">
                  <c:v>11.605640341205827</c:v>
                </c:pt>
                <c:pt idx="2">
                  <c:v>9.7919216646266829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DC1-4024-9163-E778832D64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94041976"/>
        <c:axId val="794047880"/>
      </c:scatterChart>
      <c:valAx>
        <c:axId val="794041976"/>
        <c:scaling>
          <c:orientation val="minMax"/>
          <c:max val="12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l-GR" sz="800" b="0" i="0" u="none" strike="noStrike" baseline="0">
                    <a:effectLst/>
                  </a:rPr>
                  <a:t>σ</a:t>
                </a:r>
                <a:r>
                  <a:rPr lang="da-DK" sz="800" b="0" i="0" u="none" strike="noStrike" baseline="-25000">
                    <a:effectLst/>
                  </a:rPr>
                  <a:t>b</a:t>
                </a:r>
                <a:r>
                  <a:rPr lang="da-DK" sz="800" b="0" i="0" u="none" strike="noStrike" baseline="0">
                    <a:effectLst/>
                  </a:rPr>
                  <a:t> </a:t>
                </a:r>
                <a:r>
                  <a:rPr lang="en-GB" sz="800" b="0" i="0" u="none" strike="noStrike" baseline="0">
                    <a:effectLst/>
                  </a:rPr>
                  <a:t>immersed</a:t>
                </a:r>
                <a:r>
                  <a:rPr lang="en-GB" baseline="0"/>
                  <a:t> curing</a:t>
                </a:r>
                <a:r>
                  <a:rPr lang="en-GB"/>
                  <a:t> [mS/m]</a:t>
                </a:r>
              </a:p>
            </c:rich>
          </c:tx>
          <c:layout>
            <c:manualLayout>
              <c:xMode val="edge"/>
              <c:yMode val="edge"/>
              <c:x val="0.50244799577112809"/>
              <c:y val="0.9461791666666666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" sourceLinked="0"/>
        <c:majorTickMark val="in"/>
        <c:minorTickMark val="none"/>
        <c:tickLblPos val="nextTo"/>
        <c:spPr>
          <a:noFill/>
          <a:ln w="6350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794047880"/>
        <c:crosses val="autoZero"/>
        <c:crossBetween val="midCat"/>
        <c:majorUnit val="20"/>
      </c:valAx>
      <c:valAx>
        <c:axId val="794047880"/>
        <c:scaling>
          <c:orientation val="minMax"/>
          <c:max val="120"/>
        </c:scaling>
        <c:delete val="0"/>
        <c:axPos val="l"/>
        <c:numFmt formatCode="0" sourceLinked="0"/>
        <c:majorTickMark val="in"/>
        <c:minorTickMark val="none"/>
        <c:tickLblPos val="nextTo"/>
        <c:spPr>
          <a:noFill/>
          <a:ln w="6350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794041976"/>
        <c:crosses val="autoZero"/>
        <c:crossBetween val="midCat"/>
      </c:valAx>
      <c:spPr>
        <a:noFill/>
        <a:ln w="6350">
          <a:solidFill>
            <a:sysClr val="windowText" lastClr="000000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164133068573698"/>
          <c:y val="8.3784722222222219E-2"/>
          <c:w val="0.81526283718573023"/>
          <c:h val="0.79537430555555555"/>
        </c:manualLayout>
      </c:layout>
      <c:scatterChart>
        <c:scatterStyle val="lineMarker"/>
        <c:varyColors val="0"/>
        <c:ser>
          <c:idx val="2"/>
          <c:order val="0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dPt>
            <c:idx val="1"/>
            <c:marker>
              <c:symbol val="none"/>
            </c:marker>
            <c:bubble3D val="0"/>
            <c:spPr>
              <a:ln w="6350" cap="rnd">
                <a:solidFill>
                  <a:schemeClr val="tx1"/>
                </a:solidFill>
                <a:prstDash val="lgDash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3-CC90-4EA4-B0B9-F967870C2C6D}"/>
              </c:ext>
            </c:extLst>
          </c:dPt>
          <c:xVal>
            <c:numRef>
              <c:f>Graphs!$B$19:$B$20</c:f>
              <c:numCache>
                <c:formatCode>General</c:formatCode>
                <c:ptCount val="2"/>
                <c:pt idx="0">
                  <c:v>0</c:v>
                </c:pt>
                <c:pt idx="1">
                  <c:v>15</c:v>
                </c:pt>
              </c:numCache>
            </c:numRef>
          </c:xVal>
          <c:yVal>
            <c:numRef>
              <c:f>Graphs!$C$19:$C$20</c:f>
              <c:numCache>
                <c:formatCode>0.0</c:formatCode>
                <c:ptCount val="2"/>
                <c:pt idx="0">
                  <c:v>-5.3556005780583558</c:v>
                </c:pt>
                <c:pt idx="1">
                  <c:v>15.244768792486335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C90-4EA4-B0B9-F967870C2C6D}"/>
            </c:ext>
          </c:extLst>
        </c:ser>
        <c:ser>
          <c:idx val="0"/>
          <c:order val="1"/>
          <c:tx>
            <c:v>Paste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 w="6350">
                <a:solidFill>
                  <a:schemeClr val="tx1"/>
                </a:solidFill>
              </a:ln>
              <a:effectLst/>
            </c:spPr>
          </c:marker>
          <c:errBars>
            <c:errDir val="x"/>
            <c:errBarType val="both"/>
            <c:errValType val="cust"/>
            <c:noEndCap val="0"/>
            <c:plus>
              <c:numRef>
                <c:f>'Pore solution conductivity'!$P$3:$P$5</c:f>
                <c:numCache>
                  <c:formatCode>General</c:formatCode>
                  <c:ptCount val="3"/>
                  <c:pt idx="0">
                    <c:v>0.47558889038813335</c:v>
                  </c:pt>
                  <c:pt idx="1">
                    <c:v>0.37824793842713683</c:v>
                  </c:pt>
                  <c:pt idx="2">
                    <c:v>0.34828541113463651</c:v>
                  </c:pt>
                </c:numCache>
              </c:numRef>
            </c:plus>
            <c:minus>
              <c:numRef>
                <c:f>'Pore solution conductivity'!$P$3:$P$5</c:f>
                <c:numCache>
                  <c:formatCode>General</c:formatCode>
                  <c:ptCount val="3"/>
                  <c:pt idx="0">
                    <c:v>0.47558889038813335</c:v>
                  </c:pt>
                  <c:pt idx="1">
                    <c:v>0.37824793842713683</c:v>
                  </c:pt>
                  <c:pt idx="2">
                    <c:v>0.34828541113463651</c:v>
                  </c:pt>
                </c:numCache>
              </c:numRef>
            </c:minus>
            <c:spPr>
              <a:noFill/>
              <a:ln w="6350" cap="flat" cmpd="sng" algn="ctr">
                <a:solidFill>
                  <a:schemeClr val="tx1"/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'Pore solution conductivity'!$P$6:$P$8</c:f>
                <c:numCache>
                  <c:formatCode>General</c:formatCode>
                  <c:ptCount val="3"/>
                  <c:pt idx="0">
                    <c:v>0.38315965006873887</c:v>
                  </c:pt>
                  <c:pt idx="1">
                    <c:v>0.26110822124774685</c:v>
                  </c:pt>
                  <c:pt idx="2">
                    <c:v>0.20333765704127088</c:v>
                  </c:pt>
                </c:numCache>
              </c:numRef>
            </c:plus>
            <c:minus>
              <c:numRef>
                <c:f>'Pore solution conductivity'!$P$6:$P$8</c:f>
                <c:numCache>
                  <c:formatCode>General</c:formatCode>
                  <c:ptCount val="3"/>
                  <c:pt idx="0">
                    <c:v>0.38315965006873887</c:v>
                  </c:pt>
                  <c:pt idx="1">
                    <c:v>0.26110822124774685</c:v>
                  </c:pt>
                  <c:pt idx="2">
                    <c:v>0.20333765704127088</c:v>
                  </c:pt>
                </c:numCache>
              </c:numRef>
            </c:minus>
            <c:spPr>
              <a:noFill/>
              <a:ln w="6350" cap="flat" cmpd="sng" algn="ctr">
                <a:solidFill>
                  <a:schemeClr val="tx1"/>
                </a:solidFill>
                <a:round/>
              </a:ln>
              <a:effectLst/>
            </c:spPr>
          </c:errBars>
          <c:xVal>
            <c:numRef>
              <c:f>('Pore solution conductivity'!$O$3,'Pore solution conductivity'!$O$4,'Pore solution conductivity'!$O$5)</c:f>
              <c:numCache>
                <c:formatCode>0.00</c:formatCode>
                <c:ptCount val="3"/>
                <c:pt idx="0">
                  <c:v>9.511777807762666</c:v>
                </c:pt>
                <c:pt idx="1">
                  <c:v>7.564958768542736</c:v>
                </c:pt>
                <c:pt idx="2">
                  <c:v>6.9657082226927303</c:v>
                </c:pt>
              </c:numCache>
            </c:numRef>
          </c:xVal>
          <c:yVal>
            <c:numRef>
              <c:f>'Pore solution conductivity'!$O$6:$O$8</c:f>
              <c:numCache>
                <c:formatCode>0.00</c:formatCode>
                <c:ptCount val="3"/>
                <c:pt idx="0">
                  <c:v>7.6631930013747773</c:v>
                </c:pt>
                <c:pt idx="1">
                  <c:v>5.2221644249549364</c:v>
                </c:pt>
                <c:pt idx="2">
                  <c:v>4.0667531408254174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C90-4EA4-B0B9-F967870C2C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94041976"/>
        <c:axId val="794047880"/>
      </c:scatterChart>
      <c:valAx>
        <c:axId val="794041976"/>
        <c:scaling>
          <c:orientation val="minMax"/>
          <c:max val="1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l-GR" sz="800" b="0" i="0" u="none" strike="noStrike" baseline="0">
                    <a:effectLst/>
                  </a:rPr>
                  <a:t>σ</a:t>
                </a:r>
                <a:r>
                  <a:rPr lang="da-DK" sz="800" b="0" i="0" u="none" strike="noStrike" baseline="-25000">
                    <a:effectLst/>
                  </a:rPr>
                  <a:t>ps </a:t>
                </a:r>
                <a:r>
                  <a:rPr lang="en-GB"/>
                  <a:t>from</a:t>
                </a:r>
                <a:r>
                  <a:rPr lang="en-GB" baseline="0"/>
                  <a:t> CWE results</a:t>
                </a:r>
                <a:r>
                  <a:rPr lang="en-GB"/>
                  <a:t> [S/m]</a:t>
                </a:r>
              </a:p>
            </c:rich>
          </c:tx>
          <c:layout>
            <c:manualLayout>
              <c:xMode val="edge"/>
              <c:yMode val="edge"/>
              <c:x val="0.48193150344325092"/>
              <c:y val="0.9461791666666666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" sourceLinked="0"/>
        <c:majorTickMark val="in"/>
        <c:minorTickMark val="none"/>
        <c:tickLblPos val="nextTo"/>
        <c:spPr>
          <a:noFill/>
          <a:ln w="6350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794047880"/>
        <c:crosses val="autoZero"/>
        <c:crossBetween val="midCat"/>
        <c:majorUnit val="2"/>
      </c:valAx>
      <c:valAx>
        <c:axId val="794047880"/>
        <c:scaling>
          <c:orientation val="minMax"/>
          <c:max val="10"/>
          <c:min val="0"/>
        </c:scaling>
        <c:delete val="0"/>
        <c:axPos val="l"/>
        <c:numFmt formatCode="0" sourceLinked="0"/>
        <c:majorTickMark val="in"/>
        <c:minorTickMark val="none"/>
        <c:tickLblPos val="nextTo"/>
        <c:spPr>
          <a:noFill/>
          <a:ln w="6350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794041976"/>
        <c:crosses val="autoZero"/>
        <c:crossBetween val="midCat"/>
        <c:majorUnit val="2"/>
      </c:valAx>
      <c:spPr>
        <a:noFill/>
        <a:ln w="6350">
          <a:solidFill>
            <a:sysClr val="windowText" lastClr="000000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019835134279371"/>
          <c:y val="9.0613541666666672E-2"/>
          <c:w val="0.84606912239532517"/>
          <c:h val="0.84204097222222218"/>
        </c:manualLayout>
      </c:layout>
      <c:barChart>
        <c:barDir val="col"/>
        <c:grouping val="clustered"/>
        <c:varyColors val="0"/>
        <c:ser>
          <c:idx val="0"/>
          <c:order val="0"/>
          <c:tx>
            <c:v>SC-CWE</c:v>
          </c:tx>
          <c:spPr>
            <a:solidFill>
              <a:schemeClr val="bg1"/>
            </a:solidFill>
            <a:ln w="6350"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('Formation factor'!$N$4,'Formation factor'!$N$5:$N$6)</c:f>
                <c:numCache>
                  <c:formatCode>General</c:formatCode>
                  <c:ptCount val="3"/>
                  <c:pt idx="0">
                    <c:v>4.1434985093019035E-4</c:v>
                  </c:pt>
                  <c:pt idx="1">
                    <c:v>2.5437396734626327E-4</c:v>
                  </c:pt>
                  <c:pt idx="2">
                    <c:v>2.0741102110301702E-4</c:v>
                  </c:pt>
                </c:numCache>
              </c:numRef>
            </c:plus>
            <c:minus>
              <c:numRef>
                <c:f>('Formation factor'!$N$4,'Formation factor'!$N$5:$N$6)</c:f>
                <c:numCache>
                  <c:formatCode>General</c:formatCode>
                  <c:ptCount val="3"/>
                  <c:pt idx="0">
                    <c:v>4.1434985093019035E-4</c:v>
                  </c:pt>
                  <c:pt idx="1">
                    <c:v>2.5437396734626327E-4</c:v>
                  </c:pt>
                  <c:pt idx="2">
                    <c:v>2.0741102110301702E-4</c:v>
                  </c:pt>
                </c:numCache>
              </c:numRef>
            </c:minus>
            <c:spPr>
              <a:noFill/>
              <a:ln w="6350" cap="flat" cmpd="sng" algn="ctr">
                <a:solidFill>
                  <a:sysClr val="windowText" lastClr="000000"/>
                </a:solidFill>
                <a:round/>
              </a:ln>
              <a:effectLst/>
            </c:spPr>
          </c:errBars>
          <c:cat>
            <c:strLit>
              <c:ptCount val="3"/>
              <c:pt idx="0">
                <c:v>PC-LA</c:v>
              </c:pt>
              <c:pt idx="1">
                <c:v>PCC35</c:v>
              </c:pt>
              <c:pt idx="2">
                <c:v>PCC50</c:v>
              </c:pt>
            </c:strLit>
          </c:cat>
          <c:val>
            <c:numRef>
              <c:f>('Formation factor'!$M$4,'Formation factor'!$M$5:$M$6)</c:f>
              <c:numCache>
                <c:formatCode>0.000</c:formatCode>
                <c:ptCount val="3"/>
                <c:pt idx="0">
                  <c:v>8.2869970186038068E-3</c:v>
                </c:pt>
                <c:pt idx="1">
                  <c:v>5.0874793469252652E-3</c:v>
                </c:pt>
                <c:pt idx="2">
                  <c:v>4.14822042206034E-3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578-4FF8-BC28-6B8F66CBFAE7}"/>
            </c:ext>
          </c:extLst>
        </c:ser>
        <c:ser>
          <c:idx val="1"/>
          <c:order val="1"/>
          <c:tx>
            <c:v>SC-PWE</c:v>
          </c:tx>
          <c:spPr>
            <a:pattFill prst="wdDnDiag">
              <a:fgClr>
                <a:schemeClr val="tx1"/>
              </a:fgClr>
              <a:bgClr>
                <a:schemeClr val="bg1"/>
              </a:bgClr>
            </a:pattFill>
            <a:ln w="6350"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'Formation factor'!$N$7:$N$9</c:f>
                <c:numCache>
                  <c:formatCode>General</c:formatCode>
                  <c:ptCount val="3"/>
                  <c:pt idx="0">
                    <c:v>5.1430307393021452E-4</c:v>
                  </c:pt>
                  <c:pt idx="1">
                    <c:v>3.6849252880078045E-4</c:v>
                  </c:pt>
                  <c:pt idx="2">
                    <c:v>3.5526244282463163E-4</c:v>
                  </c:pt>
                </c:numCache>
              </c:numRef>
            </c:plus>
            <c:minus>
              <c:numRef>
                <c:f>'Formation factor'!$N$7:$N$9</c:f>
                <c:numCache>
                  <c:formatCode>General</c:formatCode>
                  <c:ptCount val="3"/>
                  <c:pt idx="0">
                    <c:v>5.1430307393021452E-4</c:v>
                  </c:pt>
                  <c:pt idx="1">
                    <c:v>3.6849252880078045E-4</c:v>
                  </c:pt>
                  <c:pt idx="2">
                    <c:v>3.5526244282463163E-4</c:v>
                  </c:pt>
                </c:numCache>
              </c:numRef>
            </c:minus>
            <c:spPr>
              <a:noFill/>
              <a:ln w="6350" cap="flat" cmpd="sng" algn="ctr">
                <a:solidFill>
                  <a:sysClr val="windowText" lastClr="000000"/>
                </a:solidFill>
                <a:round/>
              </a:ln>
              <a:effectLst/>
            </c:spPr>
          </c:errBars>
          <c:cat>
            <c:strLit>
              <c:ptCount val="3"/>
              <c:pt idx="0">
                <c:v>PC-LA</c:v>
              </c:pt>
              <c:pt idx="1">
                <c:v>PCC35</c:v>
              </c:pt>
              <c:pt idx="2">
                <c:v>PCC50</c:v>
              </c:pt>
            </c:strLit>
          </c:cat>
          <c:val>
            <c:numRef>
              <c:f>'Formation factor'!$M$7:$M$9</c:f>
              <c:numCache>
                <c:formatCode>0.000</c:formatCode>
                <c:ptCount val="3"/>
                <c:pt idx="0">
                  <c:v>1.0286061478604289E-2</c:v>
                </c:pt>
                <c:pt idx="1">
                  <c:v>7.3698505760156083E-3</c:v>
                </c:pt>
                <c:pt idx="2">
                  <c:v>7.1052488564926327E-3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578-4FF8-BC28-6B8F66CBFAE7}"/>
            </c:ext>
          </c:extLst>
        </c:ser>
        <c:ser>
          <c:idx val="2"/>
          <c:order val="2"/>
          <c:tx>
            <c:v>IC-CWE</c:v>
          </c:tx>
          <c:spPr>
            <a:solidFill>
              <a:schemeClr val="bg1">
                <a:lumMod val="75000"/>
              </a:schemeClr>
            </a:solidFill>
            <a:ln w="6350"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('Formation factor'!$P$4,'Formation factor'!$P$5:$P$6)</c:f>
                <c:numCache>
                  <c:formatCode>General</c:formatCode>
                  <c:ptCount val="3"/>
                  <c:pt idx="0">
                    <c:v>5.5313744066814801E-4</c:v>
                  </c:pt>
                  <c:pt idx="1">
                    <c:v>3.6522711267023082E-4</c:v>
                  </c:pt>
                  <c:pt idx="2">
                    <c:v>2.8123519191096267E-4</c:v>
                  </c:pt>
                </c:numCache>
              </c:numRef>
            </c:plus>
            <c:minus>
              <c:numRef>
                <c:f>('Formation factor'!$P$4,'Formation factor'!$P$5:$P$6)</c:f>
                <c:numCache>
                  <c:formatCode>General</c:formatCode>
                  <c:ptCount val="3"/>
                  <c:pt idx="0">
                    <c:v>5.5313744066814801E-4</c:v>
                  </c:pt>
                  <c:pt idx="1">
                    <c:v>3.6522711267023082E-4</c:v>
                  </c:pt>
                  <c:pt idx="2">
                    <c:v>2.8123519191096267E-4</c:v>
                  </c:pt>
                </c:numCache>
              </c:numRef>
            </c:minus>
            <c:spPr>
              <a:noFill/>
              <a:ln w="6350" cap="flat" cmpd="sng" algn="ctr">
                <a:solidFill>
                  <a:sysClr val="windowText" lastClr="000000"/>
                </a:solidFill>
                <a:round/>
              </a:ln>
              <a:effectLst/>
            </c:spPr>
          </c:errBars>
          <c:cat>
            <c:strLit>
              <c:ptCount val="3"/>
              <c:pt idx="0">
                <c:v>PC-LA</c:v>
              </c:pt>
              <c:pt idx="1">
                <c:v>PCC35</c:v>
              </c:pt>
              <c:pt idx="2">
                <c:v>PCC50</c:v>
              </c:pt>
            </c:strLit>
          </c:cat>
          <c:val>
            <c:numRef>
              <c:f>('Formation factor'!$O$4,'Formation factor'!$O$5:$O$6)</c:f>
              <c:numCache>
                <c:formatCode>0.000</c:formatCode>
                <c:ptCount val="3"/>
                <c:pt idx="0">
                  <c:v>1.1062748813362959E-2</c:v>
                </c:pt>
                <c:pt idx="1">
                  <c:v>7.3045422534046157E-3</c:v>
                </c:pt>
                <c:pt idx="2">
                  <c:v>5.6247038382192527E-3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578-4FF8-BC28-6B8F66CBFAE7}"/>
            </c:ext>
          </c:extLst>
        </c:ser>
        <c:ser>
          <c:idx val="3"/>
          <c:order val="3"/>
          <c:tx>
            <c:v>IC-PWE</c:v>
          </c:tx>
          <c:spPr>
            <a:pattFill prst="wdDnDiag">
              <a:fgClr>
                <a:schemeClr val="tx1"/>
              </a:fgClr>
              <a:bgClr>
                <a:schemeClr val="bg1">
                  <a:lumMod val="75000"/>
                </a:schemeClr>
              </a:bgClr>
            </a:pattFill>
            <a:ln w="6350"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'Formation factor'!$P$7:$P$9</c:f>
                <c:numCache>
                  <c:formatCode>General</c:formatCode>
                  <c:ptCount val="3"/>
                  <c:pt idx="0">
                    <c:v>6.8657026279333533E-4</c:v>
                  </c:pt>
                  <c:pt idx="1">
                    <c:v>5.2907718403141823E-4</c:v>
                  </c:pt>
                  <c:pt idx="2">
                    <c:v>4.8171163111394258E-4</c:v>
                  </c:pt>
                </c:numCache>
              </c:numRef>
            </c:plus>
            <c:minus>
              <c:numRef>
                <c:f>'Formation factor'!$P$7:$P$9</c:f>
                <c:numCache>
                  <c:formatCode>General</c:formatCode>
                  <c:ptCount val="3"/>
                  <c:pt idx="0">
                    <c:v>6.8657026279333533E-4</c:v>
                  </c:pt>
                  <c:pt idx="1">
                    <c:v>5.2907718403141823E-4</c:v>
                  </c:pt>
                  <c:pt idx="2">
                    <c:v>4.8171163111394258E-4</c:v>
                  </c:pt>
                </c:numCache>
              </c:numRef>
            </c:minus>
            <c:spPr>
              <a:noFill/>
              <a:ln w="6350" cap="flat" cmpd="sng" algn="ctr">
                <a:solidFill>
                  <a:sysClr val="windowText" lastClr="000000"/>
                </a:solidFill>
                <a:round/>
              </a:ln>
              <a:effectLst/>
            </c:spPr>
          </c:errBars>
          <c:cat>
            <c:strLit>
              <c:ptCount val="3"/>
              <c:pt idx="0">
                <c:v>PC-LA</c:v>
              </c:pt>
              <c:pt idx="1">
                <c:v>PCC35</c:v>
              </c:pt>
              <c:pt idx="2">
                <c:v>PCC50</c:v>
              </c:pt>
            </c:strLit>
          </c:cat>
          <c:val>
            <c:numRef>
              <c:f>'Formation factor'!$O$7:$O$9</c:f>
              <c:numCache>
                <c:formatCode>0.000</c:formatCode>
                <c:ptCount val="3"/>
                <c:pt idx="0">
                  <c:v>1.3731405255866705E-2</c:v>
                </c:pt>
                <c:pt idx="1">
                  <c:v>1.0581543680628365E-2</c:v>
                </c:pt>
                <c:pt idx="2">
                  <c:v>9.6342326222788512E-3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578-4FF8-BC28-6B8F66CBFA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32600472"/>
        <c:axId val="432602112"/>
      </c:barChart>
      <c:catAx>
        <c:axId val="4326004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6350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32602112"/>
        <c:crosses val="autoZero"/>
        <c:auto val="1"/>
        <c:lblAlgn val="ctr"/>
        <c:lblOffset val="100"/>
        <c:noMultiLvlLbl val="0"/>
      </c:catAx>
      <c:valAx>
        <c:axId val="432602112"/>
        <c:scaling>
          <c:orientation val="minMax"/>
        </c:scaling>
        <c:delete val="0"/>
        <c:axPos val="l"/>
        <c:numFmt formatCode="0.000" sourceLinked="0"/>
        <c:majorTickMark val="in"/>
        <c:minorTickMark val="none"/>
        <c:tickLblPos val="nextTo"/>
        <c:spPr>
          <a:noFill/>
          <a:ln w="6350"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32600472"/>
        <c:crosses val="autoZero"/>
        <c:crossBetween val="between"/>
      </c:valAx>
      <c:spPr>
        <a:noFill/>
        <a:ln w="6350">
          <a:solidFill>
            <a:sysClr val="windowText" lastClr="000000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21981</xdr:colOff>
      <xdr:row>0</xdr:row>
      <xdr:rowOff>184639</xdr:rowOff>
    </xdr:from>
    <xdr:to>
      <xdr:col>14</xdr:col>
      <xdr:colOff>462490</xdr:colOff>
      <xdr:row>16</xdr:row>
      <xdr:rowOff>16639</xdr:rowOff>
    </xdr:to>
    <xdr:grpSp>
      <xdr:nvGrpSpPr>
        <xdr:cNvPr id="33" name="Group 32">
          <a:extLst>
            <a:ext uri="{FF2B5EF4-FFF2-40B4-BE49-F238E27FC236}">
              <a16:creationId xmlns:a16="http://schemas.microsoft.com/office/drawing/2014/main" id="{3FA87668-50A1-1834-ED41-E423E9D3AEEA}"/>
            </a:ext>
          </a:extLst>
        </xdr:cNvPr>
        <xdr:cNvGrpSpPr/>
      </xdr:nvGrpSpPr>
      <xdr:grpSpPr>
        <a:xfrm>
          <a:off x="6121791" y="186544"/>
          <a:ext cx="2873194" cy="2908409"/>
          <a:chOff x="6072188" y="133350"/>
          <a:chExt cx="2869384" cy="2880000"/>
        </a:xfrm>
      </xdr:grpSpPr>
      <xdr:graphicFrame macro="">
        <xdr:nvGraphicFramePr>
          <xdr:cNvPr id="57" name="Chart 56">
            <a:extLst>
              <a:ext uri="{FF2B5EF4-FFF2-40B4-BE49-F238E27FC236}">
                <a16:creationId xmlns:a16="http://schemas.microsoft.com/office/drawing/2014/main" id="{121B8785-D798-691F-AE53-2B1A115FF540}"/>
              </a:ext>
            </a:extLst>
          </xdr:cNvPr>
          <xdr:cNvGraphicFramePr/>
        </xdr:nvGraphicFramePr>
        <xdr:xfrm>
          <a:off x="6072188" y="133350"/>
          <a:ext cx="2869384" cy="28800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grpSp>
        <xdr:nvGrpSpPr>
          <xdr:cNvPr id="12" name="Group 11">
            <a:extLst>
              <a:ext uri="{FF2B5EF4-FFF2-40B4-BE49-F238E27FC236}">
                <a16:creationId xmlns:a16="http://schemas.microsoft.com/office/drawing/2014/main" id="{DA70428C-8ADC-3FE3-A653-EC4D35E42038}"/>
              </a:ext>
            </a:extLst>
          </xdr:cNvPr>
          <xdr:cNvGrpSpPr/>
        </xdr:nvGrpSpPr>
        <xdr:grpSpPr>
          <a:xfrm>
            <a:off x="6482952" y="398859"/>
            <a:ext cx="1023938" cy="348154"/>
            <a:chOff x="6566296" y="303609"/>
            <a:chExt cx="1023938" cy="348154"/>
          </a:xfrm>
        </xdr:grpSpPr>
        <xdr:sp macro="" textlink="">
          <xdr:nvSpPr>
            <xdr:cNvPr id="59" name="TextBox 58">
              <a:extLst>
                <a:ext uri="{FF2B5EF4-FFF2-40B4-BE49-F238E27FC236}">
                  <a16:creationId xmlns:a16="http://schemas.microsoft.com/office/drawing/2014/main" id="{4651C9C6-82FE-4B79-AFB0-5D381D198EDA}"/>
                </a:ext>
              </a:extLst>
            </xdr:cNvPr>
            <xdr:cNvSpPr txBox="1"/>
          </xdr:nvSpPr>
          <xdr:spPr>
            <a:xfrm>
              <a:off x="6566296" y="303609"/>
              <a:ext cx="1023938" cy="348154"/>
            </a:xfrm>
            <a:prstGeom prst="rect">
              <a:avLst/>
            </a:prstGeom>
            <a:solidFill>
              <a:schemeClr val="lt1"/>
            </a:solidFill>
            <a:ln w="6350" cmpd="sng">
              <a:solidFill>
                <a:sysClr val="windowText" lastClr="000000"/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lIns="36000" tIns="36000" rIns="36000" bIns="36000" rtlCol="0" anchor="ctr"/>
            <a:lstStyle/>
            <a:p>
              <a:pPr algn="l">
                <a:spcAft>
                  <a:spcPts val="300"/>
                </a:spcAft>
              </a:pPr>
              <a:r>
                <a:rPr lang="en-GB" sz="800" baseline="0">
                  <a:latin typeface="Arial" panose="020B0604020202020204" pitchFamily="34" charset="0"/>
                  <a:cs typeface="Arial" panose="020B0604020202020204" pitchFamily="34" charset="0"/>
                </a:rPr>
                <a:t>      </a:t>
              </a:r>
              <a:r>
                <a:rPr lang="en-GB" sz="800">
                  <a:latin typeface="Arial" panose="020B0604020202020204" pitchFamily="34" charset="0"/>
                  <a:cs typeface="Arial" panose="020B0604020202020204" pitchFamily="34" charset="0"/>
                </a:rPr>
                <a:t>Sealed</a:t>
              </a:r>
              <a:r>
                <a:rPr lang="en-GB" sz="800" baseline="0">
                  <a:latin typeface="Arial" panose="020B0604020202020204" pitchFamily="34" charset="0"/>
                  <a:cs typeface="Arial" panose="020B0604020202020204" pitchFamily="34" charset="0"/>
                </a:rPr>
                <a:t> curing</a:t>
              </a:r>
              <a:endParaRPr lang="en-GB" sz="800">
                <a:latin typeface="Arial" panose="020B0604020202020204" pitchFamily="34" charset="0"/>
                <a:cs typeface="Arial" panose="020B0604020202020204" pitchFamily="34" charset="0"/>
              </a:endParaRPr>
            </a:p>
            <a:p>
              <a:pPr algn="l">
                <a:spcAft>
                  <a:spcPts val="300"/>
                </a:spcAft>
              </a:pPr>
              <a:r>
                <a:rPr lang="en-GB" sz="800">
                  <a:latin typeface="Arial" panose="020B0604020202020204" pitchFamily="34" charset="0"/>
                  <a:cs typeface="Arial" panose="020B0604020202020204" pitchFamily="34" charset="0"/>
                </a:rPr>
                <a:t>      Immersed</a:t>
              </a:r>
              <a:r>
                <a:rPr lang="en-GB" sz="800" baseline="0">
                  <a:latin typeface="Arial" panose="020B0604020202020204" pitchFamily="34" charset="0"/>
                  <a:cs typeface="Arial" panose="020B0604020202020204" pitchFamily="34" charset="0"/>
                </a:rPr>
                <a:t> curing</a:t>
              </a:r>
              <a:endParaRPr lang="en-GB" sz="800">
                <a:latin typeface="Arial" panose="020B0604020202020204" pitchFamily="34" charset="0"/>
                <a:cs typeface="Arial" panose="020B0604020202020204" pitchFamily="34" charset="0"/>
              </a:endParaRPr>
            </a:p>
          </xdr:txBody>
        </xdr:sp>
        <xdr:sp macro="" textlink="">
          <xdr:nvSpPr>
            <xdr:cNvPr id="60" name="Oval 59">
              <a:extLst>
                <a:ext uri="{FF2B5EF4-FFF2-40B4-BE49-F238E27FC236}">
                  <a16:creationId xmlns:a16="http://schemas.microsoft.com/office/drawing/2014/main" id="{C2A7242C-2B50-4116-B515-5368FBF3C0CB}"/>
                </a:ext>
              </a:extLst>
            </xdr:cNvPr>
            <xdr:cNvSpPr/>
          </xdr:nvSpPr>
          <xdr:spPr>
            <a:xfrm>
              <a:off x="6656239" y="371670"/>
              <a:ext cx="53696" cy="54000"/>
            </a:xfrm>
            <a:prstGeom prst="ellipse">
              <a:avLst/>
            </a:prstGeom>
            <a:noFill/>
            <a:ln w="6350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en-GB" sz="1100"/>
            </a:p>
          </xdr:txBody>
        </xdr:sp>
        <xdr:sp macro="" textlink="">
          <xdr:nvSpPr>
            <xdr:cNvPr id="61" name="Isosceles Triangle 60">
              <a:extLst>
                <a:ext uri="{FF2B5EF4-FFF2-40B4-BE49-F238E27FC236}">
                  <a16:creationId xmlns:a16="http://schemas.microsoft.com/office/drawing/2014/main" id="{EE0E36BD-BB46-463D-9042-7231CC99CCC7}"/>
                </a:ext>
              </a:extLst>
            </xdr:cNvPr>
            <xdr:cNvSpPr/>
          </xdr:nvSpPr>
          <xdr:spPr>
            <a:xfrm>
              <a:off x="6652791" y="527225"/>
              <a:ext cx="51752" cy="50516"/>
            </a:xfrm>
            <a:prstGeom prst="triangle">
              <a:avLst/>
            </a:prstGeom>
            <a:noFill/>
            <a:ln w="635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en-GB" sz="1100"/>
            </a:p>
          </xdr:txBody>
        </xdr:sp>
      </xdr:grpSp>
    </xdr:grpSp>
    <xdr:clientData/>
  </xdr:twoCellAnchor>
  <xdr:twoCellAnchor>
    <xdr:from>
      <xdr:col>14</xdr:col>
      <xdr:colOff>585594</xdr:colOff>
      <xdr:row>0</xdr:row>
      <xdr:rowOff>141602</xdr:rowOff>
    </xdr:from>
    <xdr:to>
      <xdr:col>19</xdr:col>
      <xdr:colOff>430552</xdr:colOff>
      <xdr:row>15</xdr:row>
      <xdr:rowOff>164102</xdr:rowOff>
    </xdr:to>
    <xdr:grpSp>
      <xdr:nvGrpSpPr>
        <xdr:cNvPr id="2" name="Group 1">
          <a:extLst>
            <a:ext uri="{FF2B5EF4-FFF2-40B4-BE49-F238E27FC236}">
              <a16:creationId xmlns:a16="http://schemas.microsoft.com/office/drawing/2014/main" id="{1162EF30-DB7A-F047-E2D0-361737BE3A94}"/>
            </a:ext>
          </a:extLst>
        </xdr:cNvPr>
        <xdr:cNvGrpSpPr/>
      </xdr:nvGrpSpPr>
      <xdr:grpSpPr>
        <a:xfrm>
          <a:off x="9118089" y="143507"/>
          <a:ext cx="2892958" cy="2901038"/>
          <a:chOff x="9099479" y="141602"/>
          <a:chExt cx="2885631" cy="2880000"/>
        </a:xfrm>
      </xdr:grpSpPr>
      <xdr:graphicFrame macro="">
        <xdr:nvGraphicFramePr>
          <xdr:cNvPr id="23" name="Chart 22">
            <a:extLst>
              <a:ext uri="{FF2B5EF4-FFF2-40B4-BE49-F238E27FC236}">
                <a16:creationId xmlns:a16="http://schemas.microsoft.com/office/drawing/2014/main" id="{AC6B51A0-63E0-FD61-F0D3-D2C96B8B3F62}"/>
              </a:ext>
            </a:extLst>
          </xdr:cNvPr>
          <xdr:cNvGraphicFramePr/>
        </xdr:nvGraphicFramePr>
        <xdr:xfrm>
          <a:off x="9099479" y="141602"/>
          <a:ext cx="2885631" cy="28800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sp macro="" textlink="">
        <xdr:nvSpPr>
          <xdr:cNvPr id="24" name="TextBox 23">
            <a:extLst>
              <a:ext uri="{FF2B5EF4-FFF2-40B4-BE49-F238E27FC236}">
                <a16:creationId xmlns:a16="http://schemas.microsoft.com/office/drawing/2014/main" id="{A07B09C8-B4EF-4C6E-A2EC-A467EBB7892C}"/>
              </a:ext>
            </a:extLst>
          </xdr:cNvPr>
          <xdr:cNvSpPr txBox="1"/>
        </xdr:nvSpPr>
        <xdr:spPr>
          <a:xfrm>
            <a:off x="10549326" y="1254809"/>
            <a:ext cx="523147" cy="307324"/>
          </a:xfrm>
          <a:prstGeom prst="rect">
            <a:avLst/>
          </a:prstGeom>
          <a:noFill/>
          <a:ln w="6350" cmpd="sng">
            <a:noFill/>
            <a:prstDash val="lgDash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lIns="36000" tIns="36000" rIns="36000" bIns="36000" rtlCol="0" anchor="ctr"/>
          <a:lstStyle/>
          <a:p>
            <a:pPr algn="ctr"/>
            <a:r>
              <a:rPr lang="en-GB" sz="800">
                <a:latin typeface="Arial" panose="020B0604020202020204" pitchFamily="34" charset="0"/>
                <a:cs typeface="Arial" panose="020B0604020202020204" pitchFamily="34" charset="0"/>
              </a:rPr>
              <a:t>y = 0.73 x</a:t>
            </a:r>
          </a:p>
          <a:p>
            <a:pPr algn="ctr"/>
            <a:r>
              <a:rPr lang="en-GB" sz="800">
                <a:latin typeface="Arial" panose="020B0604020202020204" pitchFamily="34" charset="0"/>
                <a:cs typeface="Arial" panose="020B0604020202020204" pitchFamily="34" charset="0"/>
              </a:rPr>
              <a:t>R</a:t>
            </a:r>
            <a:r>
              <a:rPr lang="en-GB" sz="800" baseline="30000">
                <a:latin typeface="Arial" panose="020B0604020202020204" pitchFamily="34" charset="0"/>
                <a:cs typeface="Arial" panose="020B0604020202020204" pitchFamily="34" charset="0"/>
              </a:rPr>
              <a:t>2</a:t>
            </a:r>
            <a:r>
              <a:rPr lang="en-GB" sz="800">
                <a:latin typeface="Arial" panose="020B0604020202020204" pitchFamily="34" charset="0"/>
                <a:cs typeface="Arial" panose="020B0604020202020204" pitchFamily="34" charset="0"/>
              </a:rPr>
              <a:t> = 0.99</a:t>
            </a:r>
          </a:p>
        </xdr:txBody>
      </xdr:sp>
      <xdr:grpSp>
        <xdr:nvGrpSpPr>
          <xdr:cNvPr id="35" name="Group 34">
            <a:extLst>
              <a:ext uri="{FF2B5EF4-FFF2-40B4-BE49-F238E27FC236}">
                <a16:creationId xmlns:a16="http://schemas.microsoft.com/office/drawing/2014/main" id="{E119DBE5-093A-906D-2263-B38EA9CE2387}"/>
              </a:ext>
            </a:extLst>
          </xdr:cNvPr>
          <xdr:cNvGrpSpPr/>
        </xdr:nvGrpSpPr>
        <xdr:grpSpPr>
          <a:xfrm>
            <a:off x="9527336" y="454573"/>
            <a:ext cx="660556" cy="348154"/>
            <a:chOff x="7870454" y="3277915"/>
            <a:chExt cx="663003" cy="348154"/>
          </a:xfrm>
        </xdr:grpSpPr>
        <xdr:sp macro="" textlink="">
          <xdr:nvSpPr>
            <xdr:cNvPr id="26" name="TextBox 25">
              <a:extLst>
                <a:ext uri="{FF2B5EF4-FFF2-40B4-BE49-F238E27FC236}">
                  <a16:creationId xmlns:a16="http://schemas.microsoft.com/office/drawing/2014/main" id="{F51C68DD-EC31-4477-A8B6-52F572F65EEA}"/>
                </a:ext>
              </a:extLst>
            </xdr:cNvPr>
            <xdr:cNvSpPr txBox="1"/>
          </xdr:nvSpPr>
          <xdr:spPr>
            <a:xfrm>
              <a:off x="7870454" y="3277915"/>
              <a:ext cx="663003" cy="348154"/>
            </a:xfrm>
            <a:prstGeom prst="rect">
              <a:avLst/>
            </a:prstGeom>
            <a:solidFill>
              <a:schemeClr val="lt1"/>
            </a:solidFill>
            <a:ln w="6350" cmpd="sng">
              <a:solidFill>
                <a:sysClr val="windowText" lastClr="000000"/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lIns="36000" tIns="36000" rIns="36000" bIns="36000" rtlCol="0" anchor="ctr"/>
            <a:lstStyle/>
            <a:p>
              <a:pPr algn="l">
                <a:spcAft>
                  <a:spcPts val="300"/>
                </a:spcAft>
              </a:pPr>
              <a:r>
                <a:rPr lang="en-GB" sz="800" baseline="0">
                  <a:latin typeface="Arial" panose="020B0604020202020204" pitchFamily="34" charset="0"/>
                  <a:cs typeface="Arial" panose="020B0604020202020204" pitchFamily="34" charset="0"/>
                </a:rPr>
                <a:t>      </a:t>
              </a:r>
              <a:r>
                <a:rPr lang="en-GB" sz="800">
                  <a:latin typeface="Arial" panose="020B0604020202020204" pitchFamily="34" charset="0"/>
                  <a:cs typeface="Arial" panose="020B0604020202020204" pitchFamily="34" charset="0"/>
                </a:rPr>
                <a:t>Paste</a:t>
              </a:r>
            </a:p>
            <a:p>
              <a:pPr algn="l">
                <a:spcAft>
                  <a:spcPts val="300"/>
                </a:spcAft>
              </a:pPr>
              <a:r>
                <a:rPr lang="en-GB" sz="800">
                  <a:latin typeface="Arial" panose="020B0604020202020204" pitchFamily="34" charset="0"/>
                  <a:cs typeface="Arial" panose="020B0604020202020204" pitchFamily="34" charset="0"/>
                </a:rPr>
                <a:t>      Concrete</a:t>
              </a:r>
            </a:p>
          </xdr:txBody>
        </xdr:sp>
        <xdr:sp macro="" textlink="">
          <xdr:nvSpPr>
            <xdr:cNvPr id="27" name="Oval 26">
              <a:extLst>
                <a:ext uri="{FF2B5EF4-FFF2-40B4-BE49-F238E27FC236}">
                  <a16:creationId xmlns:a16="http://schemas.microsoft.com/office/drawing/2014/main" id="{0DF6D45C-13AD-47CE-B3C5-B38E05DA50F3}"/>
                </a:ext>
              </a:extLst>
            </xdr:cNvPr>
            <xdr:cNvSpPr/>
          </xdr:nvSpPr>
          <xdr:spPr>
            <a:xfrm>
              <a:off x="7960907" y="3345976"/>
              <a:ext cx="54000" cy="54000"/>
            </a:xfrm>
            <a:prstGeom prst="ellipse">
              <a:avLst/>
            </a:prstGeom>
            <a:noFill/>
            <a:ln w="6350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en-GB" sz="1100"/>
            </a:p>
          </xdr:txBody>
        </xdr:sp>
        <xdr:sp macro="" textlink="">
          <xdr:nvSpPr>
            <xdr:cNvPr id="29" name="Isosceles Triangle 28">
              <a:extLst>
                <a:ext uri="{FF2B5EF4-FFF2-40B4-BE49-F238E27FC236}">
                  <a16:creationId xmlns:a16="http://schemas.microsoft.com/office/drawing/2014/main" id="{C6EF9C3E-4E1C-4018-ABA6-E65FE3682BA9}"/>
                </a:ext>
              </a:extLst>
            </xdr:cNvPr>
            <xdr:cNvSpPr/>
          </xdr:nvSpPr>
          <xdr:spPr>
            <a:xfrm>
              <a:off x="7957439" y="3501531"/>
              <a:ext cx="52045" cy="50516"/>
            </a:xfrm>
            <a:prstGeom prst="triangle">
              <a:avLst/>
            </a:prstGeom>
            <a:noFill/>
            <a:ln w="635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en-GB" sz="1100"/>
            </a:p>
          </xdr:txBody>
        </xdr:sp>
      </xdr:grpSp>
      <xdr:sp macro="" textlink="">
        <xdr:nvSpPr>
          <xdr:cNvPr id="34" name="TextBox 1">
            <a:extLst>
              <a:ext uri="{FF2B5EF4-FFF2-40B4-BE49-F238E27FC236}">
                <a16:creationId xmlns:a16="http://schemas.microsoft.com/office/drawing/2014/main" id="{203C6F84-D7A4-0156-E50B-74E1B211D461}"/>
              </a:ext>
            </a:extLst>
          </xdr:cNvPr>
          <xdr:cNvSpPr txBox="1"/>
        </xdr:nvSpPr>
        <xdr:spPr>
          <a:xfrm>
            <a:off x="9430612" y="174111"/>
            <a:ext cx="1324177" cy="202406"/>
          </a:xfrm>
          <a:prstGeom prst="rect">
            <a:avLst/>
          </a:prstGeom>
        </xdr:spPr>
        <xdr:txBody>
          <a:bodyPr wrap="square" lIns="36000" tIns="36000" rIns="36000" bIns="36000" rtlCol="0"/>
          <a:lstStyle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>
            <a:r>
              <a:rPr lang="el-GR" sz="800">
                <a:latin typeface="Arial" panose="020B0604020202020204" pitchFamily="34" charset="0"/>
                <a:cs typeface="Arial" panose="020B0604020202020204" pitchFamily="34" charset="0"/>
              </a:rPr>
              <a:t>σ</a:t>
            </a:r>
            <a:r>
              <a:rPr lang="da-DK" sz="800" baseline="-25000">
                <a:latin typeface="Arial" panose="020B0604020202020204" pitchFamily="34" charset="0"/>
                <a:cs typeface="Arial" panose="020B0604020202020204" pitchFamily="34" charset="0"/>
              </a:rPr>
              <a:t>b</a:t>
            </a:r>
            <a:r>
              <a:rPr lang="da-DK" sz="800">
                <a:latin typeface="Arial" panose="020B0604020202020204" pitchFamily="34" charset="0"/>
                <a:cs typeface="Arial" panose="020B0604020202020204" pitchFamily="34" charset="0"/>
              </a:rPr>
              <a:t> </a:t>
            </a:r>
            <a:r>
              <a:rPr lang="en-GB" sz="800">
                <a:latin typeface="Arial" panose="020B0604020202020204" pitchFamily="34" charset="0"/>
                <a:cs typeface="Arial" panose="020B0604020202020204" pitchFamily="34" charset="0"/>
              </a:rPr>
              <a:t>sealed curing [mS/m]</a:t>
            </a:r>
          </a:p>
        </xdr:txBody>
      </xdr:sp>
    </xdr:grpSp>
    <xdr:clientData/>
  </xdr:twoCellAnchor>
  <xdr:twoCellAnchor>
    <xdr:from>
      <xdr:col>0</xdr:col>
      <xdr:colOff>97404</xdr:colOff>
      <xdr:row>1</xdr:row>
      <xdr:rowOff>44473</xdr:rowOff>
    </xdr:from>
    <xdr:to>
      <xdr:col>4</xdr:col>
      <xdr:colOff>533430</xdr:colOff>
      <xdr:row>16</xdr:row>
      <xdr:rowOff>72927</xdr:rowOff>
    </xdr:to>
    <xdr:grpSp>
      <xdr:nvGrpSpPr>
        <xdr:cNvPr id="43" name="Group 42">
          <a:extLst>
            <a:ext uri="{FF2B5EF4-FFF2-40B4-BE49-F238E27FC236}">
              <a16:creationId xmlns:a16="http://schemas.microsoft.com/office/drawing/2014/main" id="{D74CC722-48D6-6E73-C722-A4BFA5CC5E78}"/>
            </a:ext>
          </a:extLst>
        </xdr:cNvPr>
        <xdr:cNvGrpSpPr/>
      </xdr:nvGrpSpPr>
      <xdr:grpSpPr>
        <a:xfrm>
          <a:off x="101214" y="234725"/>
          <a:ext cx="2870616" cy="2912706"/>
          <a:chOff x="175846" y="6375796"/>
          <a:chExt cx="2867003" cy="2885954"/>
        </a:xfrm>
      </xdr:grpSpPr>
      <xdr:graphicFrame macro="">
        <xdr:nvGraphicFramePr>
          <xdr:cNvPr id="25" name="Chart 24">
            <a:extLst>
              <a:ext uri="{FF2B5EF4-FFF2-40B4-BE49-F238E27FC236}">
                <a16:creationId xmlns:a16="http://schemas.microsoft.com/office/drawing/2014/main" id="{4F06CBE2-E29F-74DC-0A72-6FCBDDBF2A6C}"/>
              </a:ext>
            </a:extLst>
          </xdr:cNvPr>
          <xdr:cNvGraphicFramePr/>
        </xdr:nvGraphicFramePr>
        <xdr:xfrm>
          <a:off x="175846" y="6381750"/>
          <a:ext cx="2867003" cy="28800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sp macro="" textlink="">
        <xdr:nvSpPr>
          <xdr:cNvPr id="28" name="TextBox 27">
            <a:extLst>
              <a:ext uri="{FF2B5EF4-FFF2-40B4-BE49-F238E27FC236}">
                <a16:creationId xmlns:a16="http://schemas.microsoft.com/office/drawing/2014/main" id="{4E7626C0-F45D-F2BA-2798-53C5C0A23BF0}"/>
              </a:ext>
            </a:extLst>
          </xdr:cNvPr>
          <xdr:cNvSpPr txBox="1"/>
        </xdr:nvSpPr>
        <xdr:spPr>
          <a:xfrm>
            <a:off x="1093679" y="8036730"/>
            <a:ext cx="827645" cy="307324"/>
          </a:xfrm>
          <a:prstGeom prst="rect">
            <a:avLst/>
          </a:prstGeom>
          <a:noFill/>
          <a:ln w="6350" cmpd="sng">
            <a:noFill/>
            <a:prstDash val="lgDash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lIns="36000" tIns="36000" rIns="36000" bIns="36000" rtlCol="0" anchor="ctr"/>
          <a:lstStyle/>
          <a:p>
            <a:pPr algn="ctr"/>
            <a:r>
              <a:rPr lang="en-GB" sz="800">
                <a:latin typeface="Arial" panose="020B0604020202020204" pitchFamily="34" charset="0"/>
                <a:cs typeface="Arial" panose="020B0604020202020204" pitchFamily="34" charset="0"/>
              </a:rPr>
              <a:t>y = 1.37 x - 5.36</a:t>
            </a:r>
          </a:p>
          <a:p>
            <a:pPr algn="ctr"/>
            <a:r>
              <a:rPr lang="en-GB" sz="800">
                <a:latin typeface="Arial" panose="020B0604020202020204" pitchFamily="34" charset="0"/>
                <a:cs typeface="Arial" panose="020B0604020202020204" pitchFamily="34" charset="0"/>
              </a:rPr>
              <a:t>R</a:t>
            </a:r>
            <a:r>
              <a:rPr lang="en-GB" sz="800" baseline="30000">
                <a:latin typeface="Arial" panose="020B0604020202020204" pitchFamily="34" charset="0"/>
                <a:cs typeface="Arial" panose="020B0604020202020204" pitchFamily="34" charset="0"/>
              </a:rPr>
              <a:t>2</a:t>
            </a:r>
            <a:r>
              <a:rPr lang="en-GB" sz="800">
                <a:latin typeface="Arial" panose="020B0604020202020204" pitchFamily="34" charset="0"/>
                <a:cs typeface="Arial" panose="020B0604020202020204" pitchFamily="34" charset="0"/>
              </a:rPr>
              <a:t> = 0.99</a:t>
            </a:r>
          </a:p>
        </xdr:txBody>
      </xdr:sp>
      <xdr:sp macro="" textlink="">
        <xdr:nvSpPr>
          <xdr:cNvPr id="42" name="TextBox 1">
            <a:extLst>
              <a:ext uri="{FF2B5EF4-FFF2-40B4-BE49-F238E27FC236}">
                <a16:creationId xmlns:a16="http://schemas.microsoft.com/office/drawing/2014/main" id="{8C5EC9D1-C572-4F6F-83C0-0EC77ABCFB27}"/>
              </a:ext>
            </a:extLst>
          </xdr:cNvPr>
          <xdr:cNvSpPr txBox="1"/>
        </xdr:nvSpPr>
        <xdr:spPr>
          <a:xfrm>
            <a:off x="428625" y="6375796"/>
            <a:ext cx="1458516" cy="202406"/>
          </a:xfrm>
          <a:prstGeom prst="rect">
            <a:avLst/>
          </a:prstGeom>
        </xdr:spPr>
        <xdr:txBody>
          <a:bodyPr wrap="square" lIns="36000" tIns="36000" rIns="36000" bIns="36000" rtlCol="0"/>
          <a:lstStyle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>
            <a:r>
              <a:rPr lang="el-GR" sz="800">
                <a:latin typeface="Arial" panose="020B0604020202020204" pitchFamily="34" charset="0"/>
                <a:cs typeface="Arial" panose="020B0604020202020204" pitchFamily="34" charset="0"/>
              </a:rPr>
              <a:t>σ</a:t>
            </a:r>
            <a:r>
              <a:rPr lang="da-DK" sz="800" baseline="-25000">
                <a:latin typeface="Arial" panose="020B0604020202020204" pitchFamily="34" charset="0"/>
                <a:cs typeface="Arial" panose="020B0604020202020204" pitchFamily="34" charset="0"/>
              </a:rPr>
              <a:t>ps</a:t>
            </a:r>
            <a:r>
              <a:rPr lang="da-DK" sz="800">
                <a:latin typeface="Arial" panose="020B0604020202020204" pitchFamily="34" charset="0"/>
                <a:cs typeface="Arial" panose="020B0604020202020204" pitchFamily="34" charset="0"/>
              </a:rPr>
              <a:t> </a:t>
            </a:r>
            <a:r>
              <a:rPr lang="en-GB" sz="800">
                <a:latin typeface="Arial" panose="020B0604020202020204" pitchFamily="34" charset="0"/>
                <a:cs typeface="Arial" panose="020B0604020202020204" pitchFamily="34" charset="0"/>
              </a:rPr>
              <a:t>from</a:t>
            </a:r>
            <a:r>
              <a:rPr lang="en-GB" sz="800" baseline="0">
                <a:latin typeface="Arial" panose="020B0604020202020204" pitchFamily="34" charset="0"/>
                <a:cs typeface="Arial" panose="020B0604020202020204" pitchFamily="34" charset="0"/>
              </a:rPr>
              <a:t> PWE results</a:t>
            </a:r>
            <a:r>
              <a:rPr lang="en-GB" sz="800">
                <a:latin typeface="Arial" panose="020B0604020202020204" pitchFamily="34" charset="0"/>
                <a:cs typeface="Arial" panose="020B0604020202020204" pitchFamily="34" charset="0"/>
              </a:rPr>
              <a:t> [mS/m]</a:t>
            </a:r>
          </a:p>
        </xdr:txBody>
      </xdr:sp>
    </xdr:grpSp>
    <xdr:clientData/>
  </xdr:twoCellAnchor>
  <xdr:twoCellAnchor>
    <xdr:from>
      <xdr:col>5</xdr:col>
      <xdr:colOff>19556</xdr:colOff>
      <xdr:row>0</xdr:row>
      <xdr:rowOff>164451</xdr:rowOff>
    </xdr:from>
    <xdr:to>
      <xdr:col>9</xdr:col>
      <xdr:colOff>455194</xdr:colOff>
      <xdr:row>15</xdr:row>
      <xdr:rowOff>186951</xdr:rowOff>
    </xdr:to>
    <xdr:grpSp>
      <xdr:nvGrpSpPr>
        <xdr:cNvPr id="45" name="Group 44">
          <a:extLst>
            <a:ext uri="{FF2B5EF4-FFF2-40B4-BE49-F238E27FC236}">
              <a16:creationId xmlns:a16="http://schemas.microsoft.com/office/drawing/2014/main" id="{43955007-4A59-45A7-7877-CA82E3E624FD}"/>
            </a:ext>
          </a:extLst>
        </xdr:cNvPr>
        <xdr:cNvGrpSpPr/>
      </xdr:nvGrpSpPr>
      <xdr:grpSpPr>
        <a:xfrm>
          <a:off x="3071366" y="162546"/>
          <a:ext cx="2870228" cy="2906753"/>
          <a:chOff x="3241248" y="6418384"/>
          <a:chExt cx="2864513" cy="2880000"/>
        </a:xfrm>
      </xdr:grpSpPr>
      <xdr:graphicFrame macro="">
        <xdr:nvGraphicFramePr>
          <xdr:cNvPr id="49" name="Chart 48">
            <a:extLst>
              <a:ext uri="{FF2B5EF4-FFF2-40B4-BE49-F238E27FC236}">
                <a16:creationId xmlns:a16="http://schemas.microsoft.com/office/drawing/2014/main" id="{98A4D0E9-E50B-3FBF-BDE1-6F713966D749}"/>
              </a:ext>
            </a:extLst>
          </xdr:cNvPr>
          <xdr:cNvGraphicFramePr>
            <a:graphicFrameLocks/>
          </xdr:cNvGraphicFramePr>
        </xdr:nvGraphicFramePr>
        <xdr:xfrm>
          <a:off x="3241248" y="6418384"/>
          <a:ext cx="2864513" cy="28800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pSp>
        <xdr:nvGrpSpPr>
          <xdr:cNvPr id="50" name="Group 49">
            <a:extLst>
              <a:ext uri="{FF2B5EF4-FFF2-40B4-BE49-F238E27FC236}">
                <a16:creationId xmlns:a16="http://schemas.microsoft.com/office/drawing/2014/main" id="{8B911C0A-E3F9-D7FD-C8B2-1A7A0260A4A4}"/>
              </a:ext>
            </a:extLst>
          </xdr:cNvPr>
          <xdr:cNvGrpSpPr/>
        </xdr:nvGrpSpPr>
        <xdr:grpSpPr>
          <a:xfrm>
            <a:off x="4505087" y="6714078"/>
            <a:ext cx="1518682" cy="506557"/>
            <a:chOff x="1380797" y="337705"/>
            <a:chExt cx="1528729" cy="506557"/>
          </a:xfrm>
        </xdr:grpSpPr>
        <xdr:sp macro="" textlink="">
          <xdr:nvSpPr>
            <xdr:cNvPr id="51" name="TextBox 50">
              <a:extLst>
                <a:ext uri="{FF2B5EF4-FFF2-40B4-BE49-F238E27FC236}">
                  <a16:creationId xmlns:a16="http://schemas.microsoft.com/office/drawing/2014/main" id="{ADB0B565-4246-742F-88C8-181ECEA199D7}"/>
                </a:ext>
              </a:extLst>
            </xdr:cNvPr>
            <xdr:cNvSpPr txBox="1"/>
          </xdr:nvSpPr>
          <xdr:spPr>
            <a:xfrm>
              <a:off x="1380797" y="337705"/>
              <a:ext cx="1528729" cy="506557"/>
            </a:xfrm>
            <a:prstGeom prst="rect">
              <a:avLst/>
            </a:prstGeom>
            <a:solidFill>
              <a:schemeClr val="lt1"/>
            </a:solidFill>
            <a:ln w="6350" cmpd="sng">
              <a:solidFill>
                <a:schemeClr val="tx1"/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lIns="36000" tIns="36000" rIns="36000" bIns="36000" rtlCol="0" anchor="t"/>
            <a:lstStyle/>
            <a:p>
              <a:pPr>
                <a:spcAft>
                  <a:spcPts val="300"/>
                </a:spcAft>
              </a:pPr>
              <a:r>
                <a:rPr lang="en-GB" sz="800" baseline="0">
                  <a:latin typeface="Arial" panose="020B0604020202020204" pitchFamily="34" charset="0"/>
                  <a:cs typeface="Arial" panose="020B0604020202020204" pitchFamily="34" charset="0"/>
                </a:rPr>
                <a:t>                               CWE   PWE</a:t>
              </a:r>
            </a:p>
            <a:p>
              <a:pPr>
                <a:spcAft>
                  <a:spcPts val="300"/>
                </a:spcAft>
              </a:pPr>
              <a:r>
                <a:rPr lang="en-GB" sz="800" baseline="0">
                  <a:latin typeface="Arial" panose="020B0604020202020204" pitchFamily="34" charset="0"/>
                  <a:cs typeface="Arial" panose="020B0604020202020204" pitchFamily="34" charset="0"/>
                </a:rPr>
                <a:t>Sealed curing</a:t>
              </a:r>
            </a:p>
            <a:p>
              <a:pPr>
                <a:spcAft>
                  <a:spcPts val="300"/>
                </a:spcAft>
              </a:pPr>
              <a:r>
                <a:rPr lang="en-GB" sz="800" baseline="0">
                  <a:latin typeface="Arial" panose="020B0604020202020204" pitchFamily="34" charset="0"/>
                  <a:cs typeface="Arial" panose="020B0604020202020204" pitchFamily="34" charset="0"/>
                </a:rPr>
                <a:t>Immersed curing</a:t>
              </a:r>
              <a:endParaRPr lang="en-GB" sz="800">
                <a:latin typeface="Arial" panose="020B0604020202020204" pitchFamily="34" charset="0"/>
                <a:cs typeface="Arial" panose="020B0604020202020204" pitchFamily="34" charset="0"/>
              </a:endParaRPr>
            </a:p>
          </xdr:txBody>
        </xdr:sp>
        <xdr:sp macro="" textlink="">
          <xdr:nvSpPr>
            <xdr:cNvPr id="52" name="Rectangle 51">
              <a:extLst>
                <a:ext uri="{FF2B5EF4-FFF2-40B4-BE49-F238E27FC236}">
                  <a16:creationId xmlns:a16="http://schemas.microsoft.com/office/drawing/2014/main" id="{B3F1B056-1D6F-993C-CB20-2028FA71475A}"/>
                </a:ext>
              </a:extLst>
            </xdr:cNvPr>
            <xdr:cNvSpPr/>
          </xdr:nvSpPr>
          <xdr:spPr>
            <a:xfrm>
              <a:off x="2385227" y="541193"/>
              <a:ext cx="72000" cy="72000"/>
            </a:xfrm>
            <a:prstGeom prst="rect">
              <a:avLst/>
            </a:prstGeom>
            <a:solidFill>
              <a:schemeClr val="bg1"/>
            </a:solidFill>
            <a:ln w="6350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en-GB" sz="1100"/>
            </a:p>
          </xdr:txBody>
        </xdr:sp>
        <xdr:sp macro="" textlink="">
          <xdr:nvSpPr>
            <xdr:cNvPr id="53" name="Rectangle 52">
              <a:extLst>
                <a:ext uri="{FF2B5EF4-FFF2-40B4-BE49-F238E27FC236}">
                  <a16:creationId xmlns:a16="http://schemas.microsoft.com/office/drawing/2014/main" id="{D5E6A3C5-C7DB-0685-C52F-438D44CB8962}"/>
                </a:ext>
              </a:extLst>
            </xdr:cNvPr>
            <xdr:cNvSpPr/>
          </xdr:nvSpPr>
          <xdr:spPr>
            <a:xfrm>
              <a:off x="2706028" y="542059"/>
              <a:ext cx="72000" cy="72000"/>
            </a:xfrm>
            <a:prstGeom prst="rect">
              <a:avLst/>
            </a:prstGeom>
            <a:pattFill prst="wdDnDiag">
              <a:fgClr>
                <a:schemeClr val="tx1"/>
              </a:fgClr>
              <a:bgClr>
                <a:schemeClr val="bg1"/>
              </a:bgClr>
            </a:pattFill>
            <a:ln w="6350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en-GB" sz="1100"/>
            </a:p>
          </xdr:txBody>
        </xdr:sp>
        <xdr:sp macro="" textlink="">
          <xdr:nvSpPr>
            <xdr:cNvPr id="54" name="Rectangle 53">
              <a:extLst>
                <a:ext uri="{FF2B5EF4-FFF2-40B4-BE49-F238E27FC236}">
                  <a16:creationId xmlns:a16="http://schemas.microsoft.com/office/drawing/2014/main" id="{320177B9-6D4A-C48B-E256-E1D9DE0D3F8B}"/>
                </a:ext>
              </a:extLst>
            </xdr:cNvPr>
            <xdr:cNvSpPr/>
          </xdr:nvSpPr>
          <xdr:spPr>
            <a:xfrm>
              <a:off x="2386119" y="702256"/>
              <a:ext cx="72000" cy="72000"/>
            </a:xfrm>
            <a:prstGeom prst="rect">
              <a:avLst/>
            </a:prstGeom>
            <a:solidFill>
              <a:schemeClr val="bg1">
                <a:lumMod val="75000"/>
              </a:schemeClr>
            </a:solidFill>
            <a:ln w="635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en-GB" sz="1100"/>
            </a:p>
          </xdr:txBody>
        </xdr:sp>
        <xdr:sp macro="" textlink="">
          <xdr:nvSpPr>
            <xdr:cNvPr id="55" name="Rectangle 54">
              <a:extLst>
                <a:ext uri="{FF2B5EF4-FFF2-40B4-BE49-F238E27FC236}">
                  <a16:creationId xmlns:a16="http://schemas.microsoft.com/office/drawing/2014/main" id="{1E4BAEB8-29D1-D042-E54C-F992BBDEC984}"/>
                </a:ext>
              </a:extLst>
            </xdr:cNvPr>
            <xdr:cNvSpPr/>
          </xdr:nvSpPr>
          <xdr:spPr>
            <a:xfrm>
              <a:off x="2706892" y="703122"/>
              <a:ext cx="72000" cy="72000"/>
            </a:xfrm>
            <a:prstGeom prst="rect">
              <a:avLst/>
            </a:prstGeom>
            <a:pattFill prst="wdDnDiag">
              <a:fgClr>
                <a:schemeClr val="tx1"/>
              </a:fgClr>
              <a:bgClr>
                <a:schemeClr val="bg1">
                  <a:lumMod val="85000"/>
                </a:schemeClr>
              </a:bgClr>
            </a:pattFill>
            <a:ln w="635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en-GB" sz="1100"/>
            </a:p>
          </xdr:txBody>
        </xdr:sp>
      </xdr:grpSp>
      <xdr:sp macro="" textlink="">
        <xdr:nvSpPr>
          <xdr:cNvPr id="44" name="TextBox 1">
            <a:extLst>
              <a:ext uri="{FF2B5EF4-FFF2-40B4-BE49-F238E27FC236}">
                <a16:creationId xmlns:a16="http://schemas.microsoft.com/office/drawing/2014/main" id="{7A096980-A376-4E87-A9A9-4C6CA5B818FC}"/>
              </a:ext>
            </a:extLst>
          </xdr:cNvPr>
          <xdr:cNvSpPr txBox="1"/>
        </xdr:nvSpPr>
        <xdr:spPr>
          <a:xfrm>
            <a:off x="3598894" y="6441280"/>
            <a:ext cx="431372" cy="202406"/>
          </a:xfrm>
          <a:prstGeom prst="rect">
            <a:avLst/>
          </a:prstGeom>
        </xdr:spPr>
        <xdr:txBody>
          <a:bodyPr wrap="square" lIns="36000" tIns="36000" rIns="36000" bIns="36000" rtlCol="0"/>
          <a:lstStyle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>
            <a:r>
              <a:rPr lang="da-DK" sz="800">
                <a:latin typeface="Arial" panose="020B0604020202020204" pitchFamily="34" charset="0"/>
                <a:cs typeface="Arial" panose="020B0604020202020204" pitchFamily="34" charset="0"/>
              </a:rPr>
              <a:t>1/FF </a:t>
            </a:r>
            <a:r>
              <a:rPr lang="en-GB" sz="800">
                <a:latin typeface="Arial" panose="020B0604020202020204" pitchFamily="34" charset="0"/>
                <a:cs typeface="Arial" panose="020B0604020202020204" pitchFamily="34" charset="0"/>
              </a:rPr>
              <a:t>[-]</a:t>
            </a:r>
          </a:p>
        </xdr:txBody>
      </xdr:sp>
    </xdr:grp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0.11203</cdr:x>
      <cdr:y>0.00331</cdr:y>
    </cdr:from>
    <cdr:to>
      <cdr:x>0.6722</cdr:x>
      <cdr:y>0.07359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167AD48F-6D61-F279-4F3A-BDA6E75A9B21}"/>
            </a:ext>
          </a:extLst>
        </cdr:cNvPr>
        <cdr:cNvSpPr txBox="1"/>
      </cdr:nvSpPr>
      <cdr:spPr>
        <a:xfrm xmlns:a="http://schemas.openxmlformats.org/drawingml/2006/main">
          <a:off x="321469" y="9525"/>
          <a:ext cx="1607343" cy="20240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lIns="36000" tIns="36000" rIns="36000" bIns="36000" rtlCol="0"/>
        <a:lstStyle xmlns:a="http://schemas.openxmlformats.org/drawingml/2006/main"/>
        <a:p xmlns:a="http://schemas.openxmlformats.org/drawingml/2006/main">
          <a:r>
            <a:rPr lang="el-GR" sz="80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σ</a:t>
          </a:r>
          <a:r>
            <a:rPr lang="da-DK" sz="800" baseline="-2500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</a:t>
          </a:r>
          <a:r>
            <a:rPr lang="en-GB" sz="800">
              <a:latin typeface="Arial" panose="020B0604020202020204" pitchFamily="34" charset="0"/>
              <a:cs typeface="Arial" panose="020B0604020202020204" pitchFamily="34" charset="0"/>
            </a:rPr>
            <a:t> concrete [mS/m]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E1E8D5-4804-4CB1-991A-44925982B672}">
  <dimension ref="A1:Q16"/>
  <sheetViews>
    <sheetView workbookViewId="0">
      <selection activeCell="K15" sqref="K15"/>
    </sheetView>
  </sheetViews>
  <sheetFormatPr defaultRowHeight="15" x14ac:dyDescent="0.25"/>
  <cols>
    <col min="1" max="1" width="6.42578125" bestFit="1" customWidth="1"/>
    <col min="15" max="16" width="12.7109375" customWidth="1"/>
  </cols>
  <sheetData>
    <row r="1" spans="1:17" ht="15" customHeight="1" x14ac:dyDescent="0.25">
      <c r="A1" s="45" t="s">
        <v>22</v>
      </c>
      <c r="B1" s="45" t="s">
        <v>23</v>
      </c>
      <c r="C1" s="45"/>
      <c r="D1" s="45"/>
      <c r="E1" s="46" t="s">
        <v>24</v>
      </c>
      <c r="F1" s="45" t="s">
        <v>25</v>
      </c>
      <c r="G1" s="45"/>
      <c r="H1" s="45"/>
      <c r="I1" s="45" t="s">
        <v>26</v>
      </c>
      <c r="J1" s="45"/>
      <c r="K1" s="45"/>
      <c r="L1" s="45" t="s">
        <v>27</v>
      </c>
      <c r="M1" s="45"/>
      <c r="N1" s="45"/>
      <c r="O1" s="46" t="s">
        <v>34</v>
      </c>
      <c r="P1" s="46"/>
    </row>
    <row r="2" spans="1:17" x14ac:dyDescent="0.25">
      <c r="A2" s="45"/>
      <c r="B2" s="17" t="s">
        <v>28</v>
      </c>
      <c r="C2" s="17" t="s">
        <v>29</v>
      </c>
      <c r="D2" s="17" t="s">
        <v>30</v>
      </c>
      <c r="E2" s="46"/>
      <c r="F2" s="17" t="s">
        <v>28</v>
      </c>
      <c r="G2" s="17" t="s">
        <v>29</v>
      </c>
      <c r="H2" s="17" t="s">
        <v>30</v>
      </c>
      <c r="I2" s="17" t="s">
        <v>28</v>
      </c>
      <c r="J2" s="17" t="s">
        <v>29</v>
      </c>
      <c r="K2" s="17" t="s">
        <v>30</v>
      </c>
      <c r="L2" s="17" t="s">
        <v>28</v>
      </c>
      <c r="M2" s="17" t="s">
        <v>29</v>
      </c>
      <c r="N2" s="17" t="s">
        <v>30</v>
      </c>
      <c r="O2" s="17" t="s">
        <v>35</v>
      </c>
      <c r="P2" s="23" t="s">
        <v>33</v>
      </c>
    </row>
    <row r="3" spans="1:17" x14ac:dyDescent="0.25">
      <c r="A3" s="23" t="s">
        <v>52</v>
      </c>
      <c r="B3" s="20">
        <v>0.245</v>
      </c>
      <c r="C3" s="20">
        <v>0.22500000000000001</v>
      </c>
      <c r="D3" s="20">
        <f>B3+C3</f>
        <v>0.47</v>
      </c>
      <c r="E3" s="20">
        <f>0.5*(B3+C3+D3)</f>
        <v>0.47</v>
      </c>
      <c r="F3" s="21">
        <v>50.1</v>
      </c>
      <c r="G3" s="21">
        <v>73.5</v>
      </c>
      <c r="H3" s="21">
        <v>198</v>
      </c>
      <c r="I3" s="21">
        <v>0.73299999999999998</v>
      </c>
      <c r="J3" s="21">
        <v>0.54800000000000004</v>
      </c>
      <c r="K3" s="21">
        <v>0.35299999999999998</v>
      </c>
      <c r="L3" s="22">
        <f t="shared" ref="L3:N5" si="0">F3/(1+I3*SQRT($E3))</f>
        <v>33.343993600888219</v>
      </c>
      <c r="M3" s="22">
        <f t="shared" si="0"/>
        <v>53.42773941316883</v>
      </c>
      <c r="N3" s="22">
        <f t="shared" si="0"/>
        <v>159.41969846265121</v>
      </c>
      <c r="O3" s="22">
        <f>(B3*L3+C3*M3+D3*N3)/10</f>
        <v>9.511777807762666</v>
      </c>
      <c r="P3" s="22">
        <f>0.05*O3</f>
        <v>0.47558889038813335</v>
      </c>
      <c r="Q3" s="44" t="s">
        <v>50</v>
      </c>
    </row>
    <row r="4" spans="1:17" x14ac:dyDescent="0.25">
      <c r="A4" s="17" t="s">
        <v>12</v>
      </c>
      <c r="B4" s="20">
        <v>0.189</v>
      </c>
      <c r="C4" s="20">
        <v>0.17499999999999999</v>
      </c>
      <c r="D4" s="20">
        <f t="shared" ref="D4:D5" si="1">B4+C4</f>
        <v>0.36399999999999999</v>
      </c>
      <c r="E4" s="20">
        <f t="shared" ref="E4:E5" si="2">0.5*(B4+C4+D4)</f>
        <v>0.36399999999999999</v>
      </c>
      <c r="F4" s="21">
        <v>50.1</v>
      </c>
      <c r="G4" s="21">
        <v>73.5</v>
      </c>
      <c r="H4" s="21">
        <v>198</v>
      </c>
      <c r="I4" s="21">
        <v>0.73299999999999998</v>
      </c>
      <c r="J4" s="21">
        <v>0.54800000000000004</v>
      </c>
      <c r="K4" s="21">
        <v>0.35299999999999998</v>
      </c>
      <c r="L4" s="22">
        <f t="shared" si="0"/>
        <v>34.737712636579658</v>
      </c>
      <c r="M4" s="22">
        <f t="shared" si="0"/>
        <v>55.237340850917562</v>
      </c>
      <c r="N4" s="22">
        <f t="shared" si="0"/>
        <v>163.23523447308582</v>
      </c>
      <c r="O4" s="22">
        <f t="shared" ref="O4:O5" si="3">(B4*L4+C4*M4+D4*N4)/10</f>
        <v>7.564958768542736</v>
      </c>
      <c r="P4" s="22">
        <f t="shared" ref="P4:P5" si="4">0.05*O4</f>
        <v>0.37824793842713683</v>
      </c>
      <c r="Q4" s="44"/>
    </row>
    <row r="5" spans="1:17" x14ac:dyDescent="0.25">
      <c r="A5" s="17" t="s">
        <v>13</v>
      </c>
      <c r="B5" s="20">
        <v>0.18</v>
      </c>
      <c r="C5" s="20">
        <v>0.153</v>
      </c>
      <c r="D5" s="20">
        <f t="shared" si="1"/>
        <v>0.33299999999999996</v>
      </c>
      <c r="E5" s="20">
        <f t="shared" si="2"/>
        <v>0.33299999999999996</v>
      </c>
      <c r="F5" s="21">
        <v>50.1</v>
      </c>
      <c r="G5" s="21">
        <v>73.5</v>
      </c>
      <c r="H5" s="21">
        <v>198</v>
      </c>
      <c r="I5" s="21">
        <v>0.73299999999999998</v>
      </c>
      <c r="J5" s="21">
        <v>0.54800000000000004</v>
      </c>
      <c r="K5" s="21">
        <v>0.35299999999999998</v>
      </c>
      <c r="L5" s="22">
        <f t="shared" si="0"/>
        <v>35.207652525815774</v>
      </c>
      <c r="M5" s="22">
        <f t="shared" si="0"/>
        <v>55.841316466024374</v>
      </c>
      <c r="N5" s="22">
        <f t="shared" si="0"/>
        <v>164.49244250143764</v>
      </c>
      <c r="O5" s="22">
        <f t="shared" si="3"/>
        <v>6.9657082226927303</v>
      </c>
      <c r="P5" s="22">
        <f t="shared" si="4"/>
        <v>0.34828541113463651</v>
      </c>
      <c r="Q5" s="44"/>
    </row>
    <row r="6" spans="1:17" x14ac:dyDescent="0.25">
      <c r="A6" s="39" t="s">
        <v>52</v>
      </c>
      <c r="B6" s="21">
        <v>0.19900000000000001</v>
      </c>
      <c r="C6" s="21">
        <v>0.17100000000000001</v>
      </c>
      <c r="D6" s="20">
        <f t="shared" ref="D6:D8" si="5">B6+C6</f>
        <v>0.37</v>
      </c>
      <c r="E6" s="20">
        <f t="shared" ref="E6:E8" si="6">0.5*(B6+C6+D6)</f>
        <v>0.37</v>
      </c>
      <c r="F6" s="21">
        <v>50.1</v>
      </c>
      <c r="G6" s="21">
        <v>73.5</v>
      </c>
      <c r="H6" s="21">
        <v>198</v>
      </c>
      <c r="I6" s="21">
        <v>0.73299999999999998</v>
      </c>
      <c r="J6" s="21">
        <v>0.54800000000000004</v>
      </c>
      <c r="K6" s="21">
        <v>0.35299999999999998</v>
      </c>
      <c r="L6" s="22">
        <f t="shared" ref="L6:L8" si="7">F6/(1+I6*SQRT($E6))</f>
        <v>34.650502121902683</v>
      </c>
      <c r="M6" s="22">
        <f t="shared" ref="M6:M8" si="8">G6/(1+J6*SQRT($E6))</f>
        <v>55.124915107892207</v>
      </c>
      <c r="N6" s="22">
        <f t="shared" ref="N6:N8" si="9">H6/(1+K6*SQRT($E6))</f>
        <v>163.00032326497183</v>
      </c>
      <c r="O6" s="22">
        <f t="shared" ref="O6:O8" si="10">(B6*L6+C6*M6+D6*N6)/10</f>
        <v>7.6631930013747773</v>
      </c>
      <c r="P6" s="22">
        <f t="shared" ref="P6:P8" si="11">0.05*O6</f>
        <v>0.38315965006873887</v>
      </c>
      <c r="Q6" s="44" t="s">
        <v>51</v>
      </c>
    </row>
    <row r="7" spans="1:17" x14ac:dyDescent="0.25">
      <c r="A7" s="31" t="s">
        <v>12</v>
      </c>
      <c r="B7" s="21">
        <v>0.13400000000000001</v>
      </c>
      <c r="C7" s="21">
        <v>0.109</v>
      </c>
      <c r="D7" s="20">
        <f t="shared" si="5"/>
        <v>0.24299999999999999</v>
      </c>
      <c r="E7" s="20">
        <f t="shared" si="6"/>
        <v>0.24299999999999999</v>
      </c>
      <c r="F7" s="21">
        <v>50.1</v>
      </c>
      <c r="G7" s="21">
        <v>73.5</v>
      </c>
      <c r="H7" s="21">
        <v>198</v>
      </c>
      <c r="I7" s="21">
        <v>0.73299999999999998</v>
      </c>
      <c r="J7" s="21">
        <v>0.54800000000000004</v>
      </c>
      <c r="K7" s="21">
        <v>0.35299999999999998</v>
      </c>
      <c r="L7" s="22">
        <f t="shared" si="7"/>
        <v>36.802175354070023</v>
      </c>
      <c r="M7" s="22">
        <f t="shared" si="8"/>
        <v>57.867784009132301</v>
      </c>
      <c r="N7" s="22">
        <f t="shared" si="9"/>
        <v>168.65252796340971</v>
      </c>
      <c r="O7" s="22">
        <f t="shared" si="10"/>
        <v>5.2221644249549364</v>
      </c>
      <c r="P7" s="22">
        <f t="shared" si="11"/>
        <v>0.26110822124774685</v>
      </c>
      <c r="Q7" s="44"/>
    </row>
    <row r="8" spans="1:17" x14ac:dyDescent="0.25">
      <c r="A8" s="31" t="s">
        <v>13</v>
      </c>
      <c r="B8" s="21">
        <v>0.11</v>
      </c>
      <c r="C8" s="21">
        <v>7.5999999999999998E-2</v>
      </c>
      <c r="D8" s="20">
        <f t="shared" si="5"/>
        <v>0.186</v>
      </c>
      <c r="E8" s="20">
        <f t="shared" si="6"/>
        <v>0.186</v>
      </c>
      <c r="F8" s="21">
        <v>50.1</v>
      </c>
      <c r="G8" s="21">
        <v>73.5</v>
      </c>
      <c r="H8" s="21">
        <v>198</v>
      </c>
      <c r="I8" s="21">
        <v>0.73299999999999998</v>
      </c>
      <c r="J8" s="21">
        <v>0.54800000000000004</v>
      </c>
      <c r="K8" s="21">
        <v>0.35299999999999998</v>
      </c>
      <c r="L8" s="22">
        <f t="shared" si="7"/>
        <v>38.066259317534843</v>
      </c>
      <c r="M8" s="22">
        <f t="shared" si="8"/>
        <v>59.449671198708081</v>
      </c>
      <c r="N8" s="22">
        <f t="shared" si="9"/>
        <v>171.83907458184697</v>
      </c>
      <c r="O8" s="22">
        <f t="shared" si="10"/>
        <v>4.0667531408254174</v>
      </c>
      <c r="P8" s="22">
        <f t="shared" si="11"/>
        <v>0.20333765704127088</v>
      </c>
      <c r="Q8" s="44"/>
    </row>
    <row r="10" spans="1:17" x14ac:dyDescent="0.25">
      <c r="B10" s="1"/>
      <c r="C10" s="1"/>
      <c r="D10" s="34" t="s">
        <v>43</v>
      </c>
      <c r="E10" s="41">
        <v>1.3733579580363127</v>
      </c>
      <c r="F10" s="34" t="s">
        <v>44</v>
      </c>
      <c r="G10" s="41">
        <v>-5.3556005780583558</v>
      </c>
    </row>
    <row r="11" spans="1:17" x14ac:dyDescent="0.25">
      <c r="B11" s="34" t="s">
        <v>50</v>
      </c>
      <c r="C11" s="34" t="s">
        <v>51</v>
      </c>
      <c r="D11" s="34" t="s">
        <v>45</v>
      </c>
      <c r="E11" s="34" t="s">
        <v>46</v>
      </c>
      <c r="F11" s="34" t="s">
        <v>47</v>
      </c>
      <c r="G11" s="34" t="s">
        <v>48</v>
      </c>
    </row>
    <row r="12" spans="1:17" x14ac:dyDescent="0.25">
      <c r="A12" s="16" t="s">
        <v>52</v>
      </c>
      <c r="B12" s="36">
        <f>O3</f>
        <v>9.511777807762666</v>
      </c>
      <c r="C12" s="8">
        <f>O6</f>
        <v>7.6631930013747773</v>
      </c>
      <c r="D12" s="18">
        <f>B12*$E$10+$G$10</f>
        <v>7.7074751693056935</v>
      </c>
      <c r="E12" s="18">
        <f>(C12-D12)^2</f>
        <v>1.9609103966618645E-3</v>
      </c>
      <c r="F12" s="18">
        <f>(C12-AVERAGE($O$3:$O$3))^2</f>
        <v>3.4172657864081479</v>
      </c>
      <c r="G12" s="3"/>
    </row>
    <row r="13" spans="1:17" x14ac:dyDescent="0.25">
      <c r="A13" s="32" t="s">
        <v>12</v>
      </c>
      <c r="B13" s="8">
        <f>O4</f>
        <v>7.564958768542736</v>
      </c>
      <c r="C13" s="8">
        <f>O7</f>
        <v>5.2221644249549364</v>
      </c>
      <c r="D13" s="18">
        <f>B13*$E$10+$G$10</f>
        <v>5.0337957489363951</v>
      </c>
      <c r="E13" s="18">
        <f t="shared" ref="E13:E14" si="12">(C13-D13)^2</f>
        <v>3.5482758104978154E-2</v>
      </c>
      <c r="F13" s="18">
        <f>(C13-AVERAGE($O$3:$O$3))^2</f>
        <v>18.400782973963175</v>
      </c>
      <c r="G13" s="3"/>
    </row>
    <row r="14" spans="1:17" x14ac:dyDescent="0.25">
      <c r="A14" s="32" t="s">
        <v>13</v>
      </c>
      <c r="B14" s="8">
        <f>O5</f>
        <v>6.9657082226927303</v>
      </c>
      <c r="C14" s="8">
        <f>O8</f>
        <v>4.0667531408254174</v>
      </c>
      <c r="D14" s="18">
        <f>B14*$E$10+$G$10</f>
        <v>4.2108102429356844</v>
      </c>
      <c r="E14" s="18">
        <f t="shared" si="12"/>
        <v>2.0752448668407895E-2</v>
      </c>
      <c r="F14" s="18">
        <f>(C14-AVERAGE($O$3:$O$3))^2</f>
        <v>29.648293623555094</v>
      </c>
      <c r="G14" s="3"/>
    </row>
    <row r="15" spans="1:17" x14ac:dyDescent="0.25">
      <c r="B15" s="1"/>
      <c r="D15" s="3" t="s">
        <v>49</v>
      </c>
      <c r="E15" s="18">
        <f>SUM(E12:E14)</f>
        <v>5.8196117170047912E-2</v>
      </c>
      <c r="F15" s="18">
        <f>SUM(F12:F14)</f>
        <v>51.466342383926417</v>
      </c>
      <c r="G15" s="40">
        <f>1-(E15/F15)</f>
        <v>0.99886923930331173</v>
      </c>
    </row>
    <row r="16" spans="1:17" x14ac:dyDescent="0.25">
      <c r="E16" s="1"/>
    </row>
  </sheetData>
  <mergeCells count="9">
    <mergeCell ref="Q3:Q5"/>
    <mergeCell ref="Q6:Q8"/>
    <mergeCell ref="A1:A2"/>
    <mergeCell ref="O1:P1"/>
    <mergeCell ref="B1:D1"/>
    <mergeCell ref="E1:E2"/>
    <mergeCell ref="F1:H1"/>
    <mergeCell ref="I1:K1"/>
    <mergeCell ref="L1:N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4A08D1-5E68-4B4B-AEF8-F330AECD8F1C}">
  <dimension ref="A1:S20"/>
  <sheetViews>
    <sheetView zoomScale="85" zoomScaleNormal="85" workbookViewId="0">
      <selection activeCell="J29" sqref="J29"/>
    </sheetView>
  </sheetViews>
  <sheetFormatPr defaultColWidth="9.140625" defaultRowHeight="15" x14ac:dyDescent="0.25"/>
  <cols>
    <col min="1" max="1" width="9.140625" style="2"/>
    <col min="2" max="2" width="6.140625" style="2" bestFit="1" customWidth="1"/>
    <col min="3" max="3" width="3.42578125" style="2" customWidth="1"/>
    <col min="4" max="4" width="11.85546875" style="2" bestFit="1" customWidth="1"/>
    <col min="5" max="6" width="9.140625" style="2"/>
    <col min="7" max="7" width="14" style="2" bestFit="1" customWidth="1"/>
    <col min="8" max="8" width="22.85546875" style="2" bestFit="1" customWidth="1"/>
    <col min="9" max="9" width="9.42578125" style="2" bestFit="1" customWidth="1"/>
    <col min="10" max="10" width="9.42578125" style="2" customWidth="1"/>
    <col min="11" max="11" width="12.42578125" style="2" bestFit="1" customWidth="1"/>
    <col min="12" max="16384" width="9.140625" style="2"/>
  </cols>
  <sheetData>
    <row r="1" spans="1:19" ht="18" x14ac:dyDescent="0.25">
      <c r="A1" s="45" t="s">
        <v>0</v>
      </c>
      <c r="B1" s="45"/>
      <c r="C1" s="45"/>
      <c r="D1" s="5" t="s">
        <v>10</v>
      </c>
      <c r="E1" s="5" t="s">
        <v>4</v>
      </c>
      <c r="F1" s="5" t="s">
        <v>5</v>
      </c>
      <c r="G1" s="5" t="s">
        <v>6</v>
      </c>
      <c r="H1" s="5" t="s">
        <v>7</v>
      </c>
      <c r="I1" s="5" t="s">
        <v>8</v>
      </c>
      <c r="J1" s="5" t="s">
        <v>9</v>
      </c>
      <c r="K1" s="5" t="s">
        <v>21</v>
      </c>
    </row>
    <row r="2" spans="1:19" x14ac:dyDescent="0.25">
      <c r="A2" s="14" t="s">
        <v>14</v>
      </c>
      <c r="B2" s="14" t="s">
        <v>31</v>
      </c>
      <c r="C2" s="14" t="s">
        <v>1</v>
      </c>
      <c r="D2" s="4" t="s">
        <v>11</v>
      </c>
      <c r="E2" s="9">
        <v>1.64</v>
      </c>
      <c r="F2" s="9">
        <v>1.59</v>
      </c>
      <c r="G2" s="4">
        <v>40</v>
      </c>
      <c r="H2" s="9">
        <f>(PI()*(25/2)^2)</f>
        <v>490.87385212340519</v>
      </c>
      <c r="I2" s="8">
        <f>IF(ISBLANK(E2),NA(),E2/(F2*10^-3))</f>
        <v>1031.4465408805031</v>
      </c>
      <c r="J2" s="11">
        <f>(H2*10^-6)/(G2*10^-3)</f>
        <v>1.2271846303085129E-2</v>
      </c>
      <c r="K2" s="8">
        <f>IF(ISBLANK(E2),NA(),1000/(I2*J2))</f>
        <v>79.002961019664738</v>
      </c>
    </row>
    <row r="3" spans="1:19" x14ac:dyDescent="0.25">
      <c r="A3" s="14" t="s">
        <v>14</v>
      </c>
      <c r="B3" s="17" t="s">
        <v>31</v>
      </c>
      <c r="C3" s="14" t="s">
        <v>2</v>
      </c>
      <c r="D3" s="12" t="s">
        <v>11</v>
      </c>
      <c r="E3" s="9">
        <v>1.68</v>
      </c>
      <c r="F3" s="9">
        <v>1.62</v>
      </c>
      <c r="G3" s="4">
        <v>40</v>
      </c>
      <c r="H3" s="9">
        <f t="shared" ref="H3:H7" si="0">(PI()*(25/2)^2)</f>
        <v>490.87385212340519</v>
      </c>
      <c r="I3" s="8">
        <f t="shared" ref="I3:I4" si="1">IF(ISBLANK(E3),NA(),E3/(F3*10^-3))</f>
        <v>1037.037037037037</v>
      </c>
      <c r="J3" s="11">
        <f t="shared" ref="J3:J4" si="2">(H3*10^-6)/(G3*10^-3)</f>
        <v>1.2271846303085129E-2</v>
      </c>
      <c r="K3" s="8">
        <f t="shared" ref="K3:K18" si="3">IF(ISBLANK(E3),NA(),1000/(I3*J3))</f>
        <v>78.577069046512904</v>
      </c>
    </row>
    <row r="4" spans="1:19" x14ac:dyDescent="0.25">
      <c r="A4" s="14" t="s">
        <v>14</v>
      </c>
      <c r="B4" s="17" t="s">
        <v>31</v>
      </c>
      <c r="C4" s="14" t="s">
        <v>3</v>
      </c>
      <c r="D4" s="12" t="s">
        <v>11</v>
      </c>
      <c r="E4" s="9">
        <v>1.57</v>
      </c>
      <c r="F4" s="9">
        <v>1.52</v>
      </c>
      <c r="G4" s="4">
        <v>40</v>
      </c>
      <c r="H4" s="9">
        <f t="shared" si="0"/>
        <v>490.87385212340519</v>
      </c>
      <c r="I4" s="8">
        <f t="shared" si="1"/>
        <v>1032.8947368421052</v>
      </c>
      <c r="J4" s="11">
        <f t="shared" si="2"/>
        <v>1.2271846303085129E-2</v>
      </c>
      <c r="K4" s="8">
        <f t="shared" si="3"/>
        <v>78.892192937475571</v>
      </c>
    </row>
    <row r="5" spans="1:19" x14ac:dyDescent="0.25">
      <c r="A5" s="14" t="s">
        <v>14</v>
      </c>
      <c r="B5" s="14" t="s">
        <v>12</v>
      </c>
      <c r="C5" s="14" t="s">
        <v>1</v>
      </c>
      <c r="D5" s="12" t="s">
        <v>11</v>
      </c>
      <c r="E5" s="12">
        <v>1.91</v>
      </c>
      <c r="F5" s="12">
        <v>0.88</v>
      </c>
      <c r="G5" s="12">
        <v>40</v>
      </c>
      <c r="H5" s="9">
        <f t="shared" si="0"/>
        <v>490.87385212340519</v>
      </c>
      <c r="I5" s="8">
        <f t="shared" ref="I5:I10" si="4">IF(ISBLANK(E5),NA(),E5/(F5*10^-3))</f>
        <v>2170.4545454545455</v>
      </c>
      <c r="J5" s="11">
        <f t="shared" ref="J5:J10" si="5">(H5*10^-6)/(G5*10^-3)</f>
        <v>1.2271846303085129E-2</v>
      </c>
      <c r="K5" s="8">
        <f t="shared" si="3"/>
        <v>37.543901130620085</v>
      </c>
    </row>
    <row r="6" spans="1:19" x14ac:dyDescent="0.25">
      <c r="A6" s="14" t="s">
        <v>14</v>
      </c>
      <c r="B6" s="14" t="s">
        <v>12</v>
      </c>
      <c r="C6" s="14" t="s">
        <v>2</v>
      </c>
      <c r="D6" s="12" t="s">
        <v>11</v>
      </c>
      <c r="E6" s="12">
        <v>1.58</v>
      </c>
      <c r="F6" s="12">
        <v>0.78</v>
      </c>
      <c r="G6" s="12">
        <v>40</v>
      </c>
      <c r="H6" s="9">
        <f t="shared" si="0"/>
        <v>490.87385212340519</v>
      </c>
      <c r="I6" s="8">
        <f t="shared" si="4"/>
        <v>2025.6410256410254</v>
      </c>
      <c r="J6" s="11">
        <f t="shared" si="5"/>
        <v>1.2271846303085129E-2</v>
      </c>
      <c r="K6" s="8">
        <f t="shared" si="3"/>
        <v>40.227922831126158</v>
      </c>
    </row>
    <row r="7" spans="1:19" x14ac:dyDescent="0.25">
      <c r="A7" s="14" t="s">
        <v>14</v>
      </c>
      <c r="B7" s="14" t="s">
        <v>12</v>
      </c>
      <c r="C7" s="14" t="s">
        <v>3</v>
      </c>
      <c r="D7" s="12" t="s">
        <v>11</v>
      </c>
      <c r="E7" s="12">
        <v>1.6</v>
      </c>
      <c r="F7" s="12">
        <v>0.74</v>
      </c>
      <c r="G7" s="12">
        <v>40</v>
      </c>
      <c r="H7" s="9">
        <f t="shared" si="0"/>
        <v>490.87385212340519</v>
      </c>
      <c r="I7" s="8">
        <f t="shared" si="4"/>
        <v>2162.1621621621625</v>
      </c>
      <c r="J7" s="11">
        <f t="shared" si="5"/>
        <v>1.2271846303085129E-2</v>
      </c>
      <c r="K7" s="8">
        <f t="shared" si="3"/>
        <v>37.687890524160807</v>
      </c>
    </row>
    <row r="8" spans="1:19" x14ac:dyDescent="0.25">
      <c r="A8" s="14" t="s">
        <v>14</v>
      </c>
      <c r="B8" s="14" t="s">
        <v>13</v>
      </c>
      <c r="C8" s="14" t="s">
        <v>1</v>
      </c>
      <c r="D8" s="12" t="s">
        <v>11</v>
      </c>
      <c r="E8" s="12">
        <v>1.6</v>
      </c>
      <c r="F8" s="12">
        <v>0.56999999999999995</v>
      </c>
      <c r="G8" s="12">
        <v>40</v>
      </c>
      <c r="H8" s="9">
        <f t="shared" ref="H8:H10" si="6">(PI()*(25/2)^2)</f>
        <v>490.87385212340519</v>
      </c>
      <c r="I8" s="8">
        <f t="shared" si="4"/>
        <v>2807.0175438596493</v>
      </c>
      <c r="J8" s="11">
        <f t="shared" si="5"/>
        <v>1.2271846303085129E-2</v>
      </c>
      <c r="K8" s="8">
        <f t="shared" si="3"/>
        <v>29.029861619961707</v>
      </c>
    </row>
    <row r="9" spans="1:19" x14ac:dyDescent="0.25">
      <c r="A9" s="14" t="s">
        <v>14</v>
      </c>
      <c r="B9" s="14" t="s">
        <v>13</v>
      </c>
      <c r="C9" s="14" t="s">
        <v>2</v>
      </c>
      <c r="D9" s="12" t="s">
        <v>11</v>
      </c>
      <c r="E9" s="12">
        <v>1.56</v>
      </c>
      <c r="F9" s="12">
        <v>0.56000000000000005</v>
      </c>
      <c r="G9" s="12">
        <v>40</v>
      </c>
      <c r="H9" s="9">
        <f t="shared" si="6"/>
        <v>490.87385212340519</v>
      </c>
      <c r="I9" s="8">
        <f t="shared" si="4"/>
        <v>2785.7142857142853</v>
      </c>
      <c r="J9" s="11">
        <f t="shared" si="5"/>
        <v>1.2271846303085129E-2</v>
      </c>
      <c r="K9" s="8">
        <f t="shared" si="3"/>
        <v>29.251862361095025</v>
      </c>
      <c r="M9" s="47" t="s">
        <v>39</v>
      </c>
      <c r="N9" s="47"/>
      <c r="O9" s="47"/>
      <c r="P9" s="47"/>
      <c r="Q9" s="47"/>
      <c r="R9" s="47"/>
      <c r="S9" s="47"/>
    </row>
    <row r="10" spans="1:19" x14ac:dyDescent="0.25">
      <c r="A10" s="14" t="s">
        <v>14</v>
      </c>
      <c r="B10" s="14" t="s">
        <v>13</v>
      </c>
      <c r="C10" s="14" t="s">
        <v>3</v>
      </c>
      <c r="D10" s="12" t="s">
        <v>11</v>
      </c>
      <c r="E10" s="12">
        <v>1.75</v>
      </c>
      <c r="F10" s="12">
        <v>0.61</v>
      </c>
      <c r="G10" s="12">
        <v>40</v>
      </c>
      <c r="H10" s="9">
        <f t="shared" si="6"/>
        <v>490.87385212340519</v>
      </c>
      <c r="I10" s="8">
        <f t="shared" si="4"/>
        <v>2868.8524590163934</v>
      </c>
      <c r="J10" s="11">
        <f t="shared" si="5"/>
        <v>1.2271846303085129E-2</v>
      </c>
      <c r="K10" s="8">
        <f t="shared" si="3"/>
        <v>28.404155329406144</v>
      </c>
      <c r="M10" s="47" t="s">
        <v>38</v>
      </c>
      <c r="N10" s="47"/>
      <c r="O10" s="47"/>
      <c r="P10" s="47"/>
      <c r="Q10" s="47"/>
      <c r="R10" s="47" t="s">
        <v>36</v>
      </c>
      <c r="S10" s="47" t="s">
        <v>37</v>
      </c>
    </row>
    <row r="11" spans="1:19" x14ac:dyDescent="0.25">
      <c r="J11"/>
      <c r="K11"/>
      <c r="L11"/>
      <c r="M11" s="12">
        <v>1</v>
      </c>
      <c r="N11" s="12">
        <v>2</v>
      </c>
      <c r="O11" s="12">
        <v>3</v>
      </c>
      <c r="P11" s="12">
        <v>4</v>
      </c>
      <c r="Q11" s="12" t="s">
        <v>35</v>
      </c>
      <c r="R11" s="47"/>
      <c r="S11" s="47"/>
    </row>
    <row r="12" spans="1:19" x14ac:dyDescent="0.25">
      <c r="A12" s="26" t="s">
        <v>14</v>
      </c>
      <c r="B12" s="26" t="s">
        <v>31</v>
      </c>
      <c r="C12" s="26" t="s">
        <v>1</v>
      </c>
      <c r="D12" s="12" t="s">
        <v>16</v>
      </c>
      <c r="E12" s="12">
        <v>1.85</v>
      </c>
      <c r="F12" s="12">
        <v>1.85</v>
      </c>
      <c r="G12" s="12">
        <v>40</v>
      </c>
      <c r="H12" s="9">
        <f>(PI()*(22/2)^2)</f>
        <v>380.13271108436498</v>
      </c>
      <c r="I12" s="8">
        <f t="shared" ref="I12" si="7">IF(ISBLANK(E12),NA(),E12/(F12*10^-3))</f>
        <v>1000</v>
      </c>
      <c r="J12" s="11">
        <f t="shared" ref="J12" si="8">(H12*10^-6)/(G12*10^-3)</f>
        <v>9.5033177771091243E-3</v>
      </c>
      <c r="K12" s="8">
        <f>IF(ISBLANK(E12),NA(),1000/(I12*J12))</f>
        <v>105.22640865579856</v>
      </c>
      <c r="L12"/>
      <c r="M12" s="12"/>
      <c r="N12" s="12"/>
      <c r="O12" s="12"/>
      <c r="P12" s="12"/>
      <c r="Q12" s="12"/>
      <c r="R12" s="12"/>
      <c r="S12" s="12"/>
    </row>
    <row r="13" spans="1:19" x14ac:dyDescent="0.25">
      <c r="A13" s="19" t="s">
        <v>15</v>
      </c>
      <c r="B13" s="19" t="s">
        <v>31</v>
      </c>
      <c r="C13" s="19" t="s">
        <v>1</v>
      </c>
      <c r="D13" s="12" t="s">
        <v>11</v>
      </c>
      <c r="E13" s="12"/>
      <c r="F13" s="12"/>
      <c r="G13" s="12"/>
      <c r="H13" s="9"/>
      <c r="I13" s="8"/>
      <c r="J13" s="11"/>
      <c r="K13" s="8">
        <f>1000/(Q13*10)</f>
        <v>16.219284729543425</v>
      </c>
      <c r="L13"/>
      <c r="M13" s="12">
        <v>16.100000000000001</v>
      </c>
      <c r="N13" s="12">
        <v>15.9</v>
      </c>
      <c r="O13" s="12">
        <v>15.8</v>
      </c>
      <c r="P13" s="12">
        <v>17.100000000000001</v>
      </c>
      <c r="Q13" s="8">
        <f>AVERAGE(M13:P13)*0.38</f>
        <v>6.1655000000000006</v>
      </c>
      <c r="R13" s="12">
        <f>62.5-1.4</f>
        <v>61.1</v>
      </c>
      <c r="S13" s="8">
        <f>(R13/(2*PI()*5))*PI()*5^2/20</f>
        <v>7.6375000000000002</v>
      </c>
    </row>
    <row r="14" spans="1:19" x14ac:dyDescent="0.25">
      <c r="A14" s="19" t="s">
        <v>15</v>
      </c>
      <c r="B14" s="19" t="s">
        <v>31</v>
      </c>
      <c r="C14" s="19" t="s">
        <v>1</v>
      </c>
      <c r="D14" s="12" t="s">
        <v>16</v>
      </c>
      <c r="E14" s="12"/>
      <c r="F14" s="12"/>
      <c r="G14" s="12"/>
      <c r="H14" s="9"/>
      <c r="I14" s="8"/>
      <c r="J14" s="11"/>
      <c r="K14" s="8">
        <f>1000/(Q14*10)</f>
        <v>25.549310168625446</v>
      </c>
      <c r="L14"/>
      <c r="M14" s="12">
        <v>10.4</v>
      </c>
      <c r="N14" s="12">
        <v>10</v>
      </c>
      <c r="O14" s="12">
        <v>10.5</v>
      </c>
      <c r="P14" s="12">
        <v>10.3</v>
      </c>
      <c r="Q14" s="8">
        <f t="shared" ref="Q14:Q20" si="9">AVERAGE(M14:P14)*0.38</f>
        <v>3.9140000000000001</v>
      </c>
      <c r="R14" s="12">
        <f>27.4-1.4</f>
        <v>26</v>
      </c>
      <c r="S14" s="8">
        <f>(R14/(2*PI()*5))*PI()*5^2/20</f>
        <v>3.25</v>
      </c>
    </row>
    <row r="15" spans="1:19" x14ac:dyDescent="0.25">
      <c r="A15" s="14" t="s">
        <v>14</v>
      </c>
      <c r="B15" s="14" t="s">
        <v>12</v>
      </c>
      <c r="C15" s="14" t="s">
        <v>1</v>
      </c>
      <c r="D15" s="12" t="s">
        <v>16</v>
      </c>
      <c r="E15" s="12">
        <v>1.79</v>
      </c>
      <c r="F15" s="12">
        <v>0.94</v>
      </c>
      <c r="G15" s="12">
        <v>40</v>
      </c>
      <c r="H15" s="9">
        <f>(PI()*(22/2)^2)</f>
        <v>380.13271108436498</v>
      </c>
      <c r="I15" s="8">
        <f t="shared" ref="I15:I18" si="10">IF(ISBLANK(E15),NA(),E15/(F15*10^-3))</f>
        <v>1904.2553191489362</v>
      </c>
      <c r="J15" s="11">
        <f t="shared" ref="J15:J18" si="11">(H15*10^-6)/(G15*10^-3)</f>
        <v>9.5033177771091243E-3</v>
      </c>
      <c r="K15" s="8">
        <f t="shared" si="3"/>
        <v>55.258560970084162</v>
      </c>
      <c r="M15" s="12"/>
      <c r="N15" s="12"/>
      <c r="O15" s="12"/>
      <c r="P15" s="12"/>
      <c r="Q15" s="8"/>
      <c r="R15" s="12"/>
      <c r="S15" s="8"/>
    </row>
    <row r="16" spans="1:19" x14ac:dyDescent="0.25">
      <c r="A16" s="14" t="s">
        <v>15</v>
      </c>
      <c r="B16" s="14" t="s">
        <v>12</v>
      </c>
      <c r="C16" s="14" t="s">
        <v>1</v>
      </c>
      <c r="D16" s="12" t="s">
        <v>11</v>
      </c>
      <c r="E16" s="12"/>
      <c r="F16" s="12"/>
      <c r="G16" s="12"/>
      <c r="H16" s="9"/>
      <c r="I16" s="8"/>
      <c r="J16" s="11"/>
      <c r="K16" s="8">
        <f>1000/(Q16*10)</f>
        <v>11.605640341205827</v>
      </c>
      <c r="M16" s="12">
        <v>22.7</v>
      </c>
      <c r="N16" s="12">
        <v>22.6</v>
      </c>
      <c r="O16" s="12">
        <v>22.8</v>
      </c>
      <c r="P16" s="12">
        <v>22.6</v>
      </c>
      <c r="Q16" s="8">
        <f t="shared" si="9"/>
        <v>8.6164999999999985</v>
      </c>
      <c r="R16" s="12">
        <f>73.8-1.4</f>
        <v>72.399999999999991</v>
      </c>
      <c r="S16" s="8">
        <f t="shared" ref="S16:S20" si="12">(R16/(2*PI()*5))*PI()*5^2/20</f>
        <v>9.0499999999999989</v>
      </c>
    </row>
    <row r="17" spans="1:19" x14ac:dyDescent="0.25">
      <c r="A17" s="14" t="s">
        <v>15</v>
      </c>
      <c r="B17" s="14" t="s">
        <v>12</v>
      </c>
      <c r="C17" s="14" t="s">
        <v>1</v>
      </c>
      <c r="D17" s="12" t="s">
        <v>16</v>
      </c>
      <c r="E17" s="12"/>
      <c r="F17" s="12"/>
      <c r="G17" s="12"/>
      <c r="H17" s="9"/>
      <c r="I17" s="8"/>
      <c r="J17" s="11"/>
      <c r="K17" s="8">
        <f>1000/(Q17*10)</f>
        <v>16.576875259013676</v>
      </c>
      <c r="M17" s="12">
        <v>16.5</v>
      </c>
      <c r="N17" s="12">
        <v>16.600000000000001</v>
      </c>
      <c r="O17" s="12">
        <v>15.6</v>
      </c>
      <c r="P17" s="12">
        <v>14.8</v>
      </c>
      <c r="Q17" s="8">
        <f t="shared" si="9"/>
        <v>6.0324999999999998</v>
      </c>
      <c r="R17" s="12">
        <f>54.8-1.4</f>
        <v>53.4</v>
      </c>
      <c r="S17" s="8">
        <f t="shared" si="12"/>
        <v>6.6749999999999998</v>
      </c>
    </row>
    <row r="18" spans="1:19" x14ac:dyDescent="0.25">
      <c r="A18" s="14" t="s">
        <v>14</v>
      </c>
      <c r="B18" s="14" t="s">
        <v>13</v>
      </c>
      <c r="C18" s="14" t="s">
        <v>1</v>
      </c>
      <c r="D18" s="12" t="s">
        <v>16</v>
      </c>
      <c r="E18" s="12">
        <v>1.88</v>
      </c>
      <c r="F18" s="12">
        <v>0.7</v>
      </c>
      <c r="G18" s="12">
        <v>40</v>
      </c>
      <c r="H18" s="9">
        <f>(PI()*(22/2)^2)</f>
        <v>380.13271108436498</v>
      </c>
      <c r="I18" s="8">
        <f t="shared" si="10"/>
        <v>2685.7142857142858</v>
      </c>
      <c r="J18" s="11">
        <f t="shared" si="11"/>
        <v>9.5033177771091243E-3</v>
      </c>
      <c r="K18" s="8">
        <f t="shared" si="3"/>
        <v>39.180045776095213</v>
      </c>
      <c r="M18" s="12"/>
      <c r="N18" s="12"/>
      <c r="O18" s="12"/>
      <c r="P18" s="12"/>
      <c r="Q18" s="8"/>
      <c r="R18" s="12"/>
      <c r="S18" s="8"/>
    </row>
    <row r="19" spans="1:19" x14ac:dyDescent="0.25">
      <c r="A19" s="14" t="s">
        <v>15</v>
      </c>
      <c r="B19" s="14" t="s">
        <v>13</v>
      </c>
      <c r="C19" s="14" t="s">
        <v>1</v>
      </c>
      <c r="D19" s="12" t="s">
        <v>11</v>
      </c>
      <c r="E19" s="12"/>
      <c r="F19" s="12"/>
      <c r="G19" s="12"/>
      <c r="H19" s="9"/>
      <c r="I19" s="8"/>
      <c r="J19" s="11"/>
      <c r="K19" s="8">
        <f>1000/(Q19*10)</f>
        <v>9.7919216646266829</v>
      </c>
      <c r="M19" s="12">
        <v>25.8</v>
      </c>
      <c r="N19" s="12">
        <v>28.1</v>
      </c>
      <c r="O19" s="12">
        <v>26.2</v>
      </c>
      <c r="P19" s="12">
        <v>27.4</v>
      </c>
      <c r="Q19" s="8">
        <f t="shared" si="9"/>
        <v>10.2125</v>
      </c>
      <c r="R19" s="12">
        <f>99.2-1.4</f>
        <v>97.8</v>
      </c>
      <c r="S19" s="8">
        <f t="shared" si="12"/>
        <v>12.224999999999998</v>
      </c>
    </row>
    <row r="20" spans="1:19" x14ac:dyDescent="0.25">
      <c r="A20" s="14" t="s">
        <v>15</v>
      </c>
      <c r="B20" s="14" t="s">
        <v>13</v>
      </c>
      <c r="C20" s="14" t="s">
        <v>1</v>
      </c>
      <c r="D20" s="12" t="s">
        <v>16</v>
      </c>
      <c r="E20" s="12"/>
      <c r="F20" s="12"/>
      <c r="G20" s="12"/>
      <c r="H20" s="9"/>
      <c r="I20" s="8"/>
      <c r="J20" s="11"/>
      <c r="K20" s="8">
        <f>1000/(Q20*10)</f>
        <v>11.708916339792752</v>
      </c>
      <c r="M20" s="12">
        <v>22.6</v>
      </c>
      <c r="N20" s="12">
        <v>23.1</v>
      </c>
      <c r="O20" s="12">
        <v>21.7</v>
      </c>
      <c r="P20" s="12">
        <v>22.5</v>
      </c>
      <c r="Q20" s="8">
        <f t="shared" si="9"/>
        <v>8.5404999999999998</v>
      </c>
      <c r="R20" s="12">
        <f>62.9-1.4</f>
        <v>61.5</v>
      </c>
      <c r="S20" s="8">
        <f t="shared" si="12"/>
        <v>7.6875</v>
      </c>
    </row>
  </sheetData>
  <mergeCells count="5">
    <mergeCell ref="A1:C1"/>
    <mergeCell ref="R10:R11"/>
    <mergeCell ref="M10:Q10"/>
    <mergeCell ref="S10:S11"/>
    <mergeCell ref="M9:S9"/>
  </mergeCells>
  <phoneticPr fontId="2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600776-A834-41E9-828C-9123B0D69E6E}">
  <dimension ref="A1:R41"/>
  <sheetViews>
    <sheetView workbookViewId="0">
      <selection activeCell="F24" sqref="F24"/>
    </sheetView>
  </sheetViews>
  <sheetFormatPr defaultColWidth="9.140625" defaultRowHeight="15" x14ac:dyDescent="0.25"/>
  <cols>
    <col min="1" max="1" width="9" style="2" bestFit="1" customWidth="1"/>
    <col min="2" max="2" width="11.7109375" style="2" customWidth="1"/>
    <col min="3" max="9" width="11.7109375" style="1" customWidth="1"/>
    <col min="10" max="13" width="9.140625" style="1"/>
    <col min="14" max="14" width="10" style="1" bestFit="1" customWidth="1"/>
    <col min="15" max="16384" width="9.140625" style="1"/>
  </cols>
  <sheetData>
    <row r="1" spans="1:11" x14ac:dyDescent="0.25">
      <c r="A1" s="45" t="s">
        <v>0</v>
      </c>
      <c r="B1" s="45" t="s">
        <v>17</v>
      </c>
      <c r="C1" s="45"/>
      <c r="D1" s="45" t="s">
        <v>18</v>
      </c>
      <c r="E1" s="45"/>
      <c r="F1" s="45" t="s">
        <v>19</v>
      </c>
      <c r="G1" s="45"/>
      <c r="H1" s="45" t="s">
        <v>20</v>
      </c>
      <c r="I1" s="45"/>
    </row>
    <row r="2" spans="1:11" x14ac:dyDescent="0.25">
      <c r="A2" s="45"/>
      <c r="B2" s="13" t="s">
        <v>42</v>
      </c>
      <c r="C2" s="6" t="s">
        <v>33</v>
      </c>
      <c r="D2" s="29" t="s">
        <v>42</v>
      </c>
      <c r="E2" s="15" t="s">
        <v>33</v>
      </c>
      <c r="F2" s="29" t="s">
        <v>42</v>
      </c>
      <c r="G2" s="15" t="s">
        <v>33</v>
      </c>
      <c r="H2" s="29" t="s">
        <v>42</v>
      </c>
      <c r="I2" s="15" t="s">
        <v>33</v>
      </c>
    </row>
    <row r="3" spans="1:11" x14ac:dyDescent="0.25">
      <c r="A3" s="7" t="s">
        <v>31</v>
      </c>
      <c r="B3" s="8">
        <f>AVERAGEIFS('Bulk conductivity'!$K$2:$K$10,'Bulk conductivity'!$B$2:$B$10,'Summary bulk conductivity'!$A3)</f>
        <v>78.824074334551071</v>
      </c>
      <c r="C3" s="9">
        <f>0.05*B3</f>
        <v>3.9412037167275535</v>
      </c>
      <c r="D3" s="25">
        <f>'Bulk conductivity'!K12</f>
        <v>105.22640865579856</v>
      </c>
      <c r="E3" s="18">
        <f>0.05*D3</f>
        <v>5.2613204327899288</v>
      </c>
      <c r="F3" s="25">
        <f>'Bulk conductivity'!K13</f>
        <v>16.219284729543425</v>
      </c>
      <c r="G3" s="18">
        <f>0.05*F3</f>
        <v>0.81096423647717131</v>
      </c>
      <c r="H3" s="25">
        <f>'Bulk conductivity'!K14</f>
        <v>25.549310168625446</v>
      </c>
      <c r="I3" s="18">
        <f>0.05*H3</f>
        <v>1.2774655084312725</v>
      </c>
    </row>
    <row r="4" spans="1:11" x14ac:dyDescent="0.25">
      <c r="A4" s="12" t="s">
        <v>12</v>
      </c>
      <c r="B4" s="8">
        <f>AVERAGEIFS('Bulk conductivity'!$K$2:$K$10,'Bulk conductivity'!$B$2:$B$10,'Summary bulk conductivity'!$A4)</f>
        <v>38.48657149530235</v>
      </c>
      <c r="C4" s="9">
        <f t="shared" ref="C4:C5" si="0">0.05*B4</f>
        <v>1.9243285747651175</v>
      </c>
      <c r="D4" s="25">
        <f>'Bulk conductivity'!K15</f>
        <v>55.258560970084162</v>
      </c>
      <c r="E4" s="18">
        <f>0.05*D4</f>
        <v>2.7629280485042083</v>
      </c>
      <c r="F4" s="25">
        <f>'Bulk conductivity'!K16</f>
        <v>11.605640341205827</v>
      </c>
      <c r="G4" s="18">
        <f>0.05*F4</f>
        <v>0.58028201706029137</v>
      </c>
      <c r="H4" s="25">
        <f>'Bulk conductivity'!K17</f>
        <v>16.576875259013676</v>
      </c>
      <c r="I4" s="18">
        <f>0.05*H4</f>
        <v>0.82884376295068385</v>
      </c>
    </row>
    <row r="5" spans="1:11" x14ac:dyDescent="0.25">
      <c r="A5" s="12" t="s">
        <v>13</v>
      </c>
      <c r="B5" s="8">
        <f>AVERAGEIFS('Bulk conductivity'!$K$2:$K$10,'Bulk conductivity'!$B$2:$B$10,'Summary bulk conductivity'!$A5)</f>
        <v>28.895293103487621</v>
      </c>
      <c r="C5" s="9">
        <f t="shared" si="0"/>
        <v>1.4447646551743811</v>
      </c>
      <c r="D5" s="25">
        <f>'Bulk conductivity'!K18</f>
        <v>39.180045776095213</v>
      </c>
      <c r="E5" s="18">
        <f>0.05*D5</f>
        <v>1.9590022888047607</v>
      </c>
      <c r="F5" s="25">
        <f>'Bulk conductivity'!K19</f>
        <v>9.7919216646266829</v>
      </c>
      <c r="G5" s="18">
        <f>0.05*F5</f>
        <v>0.48959608323133419</v>
      </c>
      <c r="H5" s="25">
        <f>'Bulk conductivity'!K20</f>
        <v>11.708916339792752</v>
      </c>
      <c r="I5" s="18">
        <f>0.05*H5</f>
        <v>0.5854458169896376</v>
      </c>
      <c r="K5" s="27"/>
    </row>
    <row r="7" spans="1:11" x14ac:dyDescent="0.25">
      <c r="A7" s="1"/>
      <c r="B7" s="1"/>
    </row>
    <row r="8" spans="1:11" x14ac:dyDescent="0.25">
      <c r="A8" s="1"/>
      <c r="B8" s="1"/>
      <c r="E8" s="34" t="s">
        <v>43</v>
      </c>
      <c r="F8" s="41">
        <v>0.73387255972334919</v>
      </c>
      <c r="G8" s="42"/>
      <c r="H8" s="43"/>
    </row>
    <row r="9" spans="1:11" x14ac:dyDescent="0.25">
      <c r="A9" s="1"/>
      <c r="B9" s="1"/>
      <c r="C9" s="34" t="s">
        <v>11</v>
      </c>
      <c r="D9" s="34" t="s">
        <v>16</v>
      </c>
      <c r="E9" s="34" t="s">
        <v>45</v>
      </c>
      <c r="F9" s="34" t="s">
        <v>46</v>
      </c>
      <c r="G9" s="34" t="s">
        <v>47</v>
      </c>
      <c r="H9" s="34" t="s">
        <v>48</v>
      </c>
    </row>
    <row r="10" spans="1:11" x14ac:dyDescent="0.25">
      <c r="A10" s="47" t="s">
        <v>14</v>
      </c>
      <c r="B10" s="16" t="s">
        <v>31</v>
      </c>
      <c r="C10" s="36">
        <f>B3</f>
        <v>78.824074334551071</v>
      </c>
      <c r="D10" s="8">
        <f>D3</f>
        <v>105.22640865579856</v>
      </c>
      <c r="E10" s="18">
        <f>D10*$F$8</f>
        <v>77.222773870726087</v>
      </c>
      <c r="F10" s="18">
        <f>(C10-E10)^2</f>
        <v>2.5641631754461085</v>
      </c>
      <c r="G10" s="18">
        <f>(C10-AVERAGE($C$10:$C$15))^2</f>
        <v>2321.9815132484077</v>
      </c>
      <c r="H10" s="3"/>
    </row>
    <row r="11" spans="1:11" x14ac:dyDescent="0.25">
      <c r="A11" s="47"/>
      <c r="B11" s="30" t="s">
        <v>12</v>
      </c>
      <c r="C11" s="8">
        <f>B4</f>
        <v>38.48657149530235</v>
      </c>
      <c r="D11" s="8">
        <f>D4</f>
        <v>55.258560970084162</v>
      </c>
      <c r="E11" s="18">
        <f t="shared" ref="E11:E15" si="1">D11*$F$8</f>
        <v>40.552741585744421</v>
      </c>
      <c r="F11" s="18">
        <f t="shared" ref="F11:F15" si="2">(C11-E11)^2</f>
        <v>4.2690588426373965</v>
      </c>
      <c r="G11" s="18">
        <f t="shared" ref="G11:G15" si="3">(C11-AVERAGE($C$10:$C$15))^2</f>
        <v>61.613716956087828</v>
      </c>
      <c r="H11" s="3"/>
    </row>
    <row r="12" spans="1:11" x14ac:dyDescent="0.25">
      <c r="A12" s="47"/>
      <c r="B12" s="30" t="s">
        <v>13</v>
      </c>
      <c r="C12" s="8">
        <f>B5</f>
        <v>28.895293103487621</v>
      </c>
      <c r="D12" s="8">
        <f>D5</f>
        <v>39.180045776095213</v>
      </c>
      <c r="E12" s="18">
        <f t="shared" si="1"/>
        <v>28.753160483780988</v>
      </c>
      <c r="F12" s="18">
        <f t="shared" si="2"/>
        <v>2.0201681584670308E-2</v>
      </c>
      <c r="G12" s="18">
        <f t="shared" si="3"/>
        <v>3.0339990653795716</v>
      </c>
      <c r="H12" s="3"/>
    </row>
    <row r="13" spans="1:11" x14ac:dyDescent="0.25">
      <c r="A13" s="47" t="s">
        <v>15</v>
      </c>
      <c r="B13" s="16" t="s">
        <v>31</v>
      </c>
      <c r="C13" s="36">
        <f>F3</f>
        <v>16.219284729543425</v>
      </c>
      <c r="D13" s="8">
        <f>H3</f>
        <v>25.549310168625446</v>
      </c>
      <c r="E13" s="18">
        <f t="shared" si="1"/>
        <v>18.74993765261495</v>
      </c>
      <c r="F13" s="18">
        <f t="shared" si="2"/>
        <v>6.4042042170504532</v>
      </c>
      <c r="G13" s="18">
        <f t="shared" si="3"/>
        <v>207.87428948638942</v>
      </c>
      <c r="H13" s="3"/>
    </row>
    <row r="14" spans="1:11" x14ac:dyDescent="0.25">
      <c r="A14" s="47"/>
      <c r="B14" s="30" t="s">
        <v>12</v>
      </c>
      <c r="C14" s="8">
        <f>F4</f>
        <v>11.605640341205827</v>
      </c>
      <c r="D14" s="8">
        <f>H4</f>
        <v>16.576875259013676</v>
      </c>
      <c r="E14" s="18">
        <f t="shared" si="1"/>
        <v>12.165313878547023</v>
      </c>
      <c r="F14" s="18">
        <f t="shared" si="2"/>
        <v>0.31323446840000668</v>
      </c>
      <c r="G14" s="18">
        <f t="shared" si="3"/>
        <v>362.19763459416669</v>
      </c>
      <c r="H14" s="3"/>
    </row>
    <row r="15" spans="1:11" x14ac:dyDescent="0.25">
      <c r="A15" s="47"/>
      <c r="B15" s="30" t="s">
        <v>13</v>
      </c>
      <c r="C15" s="8">
        <f>F5</f>
        <v>9.7919216646266829</v>
      </c>
      <c r="D15" s="8">
        <f>H5</f>
        <v>11.708916339792752</v>
      </c>
      <c r="E15" s="18">
        <f t="shared" si="1"/>
        <v>8.5928524058702553</v>
      </c>
      <c r="F15" s="18">
        <f t="shared" si="2"/>
        <v>1.4377670872946886</v>
      </c>
      <c r="G15" s="18">
        <f t="shared" si="3"/>
        <v>434.52274993364694</v>
      </c>
      <c r="H15" s="3"/>
    </row>
    <row r="16" spans="1:11" x14ac:dyDescent="0.25">
      <c r="A16" s="1"/>
      <c r="B16" s="1"/>
      <c r="D16"/>
      <c r="E16" s="3" t="s">
        <v>49</v>
      </c>
      <c r="F16" s="18">
        <f>SUM(F10:F15)</f>
        <v>15.008629472413324</v>
      </c>
      <c r="G16" s="18">
        <f>SUM(G10:G15)</f>
        <v>3391.2239032840785</v>
      </c>
      <c r="H16" s="40">
        <f>1-(F16/G16)</f>
        <v>0.99557427350701355</v>
      </c>
    </row>
    <row r="18" spans="1:18" x14ac:dyDescent="0.25">
      <c r="N18"/>
      <c r="O18"/>
      <c r="P18"/>
      <c r="Q18"/>
      <c r="R18"/>
    </row>
    <row r="19" spans="1:18" x14ac:dyDescent="0.25">
      <c r="N19"/>
      <c r="O19"/>
      <c r="P19"/>
      <c r="Q19"/>
      <c r="R19"/>
    </row>
    <row r="27" spans="1:18" x14ac:dyDescent="0.25">
      <c r="B27" s="10"/>
    </row>
    <row r="30" spans="1:18" x14ac:dyDescent="0.25">
      <c r="A30" s="1"/>
      <c r="B30" s="1"/>
    </row>
    <row r="31" spans="1:18" x14ac:dyDescent="0.25">
      <c r="A31" s="1"/>
      <c r="B31" s="1"/>
    </row>
    <row r="32" spans="1:18" x14ac:dyDescent="0.25">
      <c r="A32" s="1"/>
      <c r="B32" s="1"/>
    </row>
    <row r="33" spans="1:2" x14ac:dyDescent="0.25">
      <c r="A33" s="1"/>
      <c r="B33" s="1"/>
    </row>
    <row r="34" spans="1:2" x14ac:dyDescent="0.25">
      <c r="A34" s="1"/>
    </row>
    <row r="41" spans="1:2" x14ac:dyDescent="0.25">
      <c r="A41" s="1"/>
    </row>
  </sheetData>
  <mergeCells count="7">
    <mergeCell ref="A10:A12"/>
    <mergeCell ref="A13:A15"/>
    <mergeCell ref="F1:G1"/>
    <mergeCell ref="H1:I1"/>
    <mergeCell ref="A1:A2"/>
    <mergeCell ref="B1:C1"/>
    <mergeCell ref="D1:E1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36D915-2A44-433F-9104-1C0827B6308B}">
  <dimension ref="A1:T30"/>
  <sheetViews>
    <sheetView workbookViewId="0">
      <selection activeCell="D13" sqref="D13"/>
    </sheetView>
  </sheetViews>
  <sheetFormatPr defaultRowHeight="15" x14ac:dyDescent="0.25"/>
  <cols>
    <col min="2" max="10" width="10.7109375" customWidth="1"/>
  </cols>
  <sheetData>
    <row r="1" spans="1:20" x14ac:dyDescent="0.25">
      <c r="A1" s="48" t="s">
        <v>40</v>
      </c>
      <c r="B1" s="48"/>
      <c r="C1" s="48"/>
      <c r="D1" s="48"/>
      <c r="E1" s="48"/>
      <c r="F1" s="48"/>
      <c r="G1" s="48"/>
      <c r="H1" s="48"/>
      <c r="I1" s="48"/>
      <c r="L1" s="48" t="s">
        <v>41</v>
      </c>
      <c r="M1" s="48"/>
      <c r="N1" s="48"/>
      <c r="O1" s="48"/>
      <c r="P1" s="48"/>
      <c r="Q1" s="48"/>
      <c r="R1" s="48"/>
      <c r="S1" s="48"/>
      <c r="T1" s="48"/>
    </row>
    <row r="2" spans="1:20" x14ac:dyDescent="0.25">
      <c r="A2" s="45" t="s">
        <v>22</v>
      </c>
      <c r="B2" s="45" t="s">
        <v>17</v>
      </c>
      <c r="C2" s="45"/>
      <c r="D2" s="45" t="s">
        <v>18</v>
      </c>
      <c r="E2" s="45"/>
      <c r="F2" s="45" t="s">
        <v>19</v>
      </c>
      <c r="G2" s="45"/>
      <c r="H2" s="45" t="s">
        <v>20</v>
      </c>
      <c r="I2" s="45"/>
      <c r="L2" s="45" t="s">
        <v>22</v>
      </c>
      <c r="M2" s="45" t="s">
        <v>17</v>
      </c>
      <c r="N2" s="45"/>
      <c r="O2" s="45" t="s">
        <v>18</v>
      </c>
      <c r="P2" s="45"/>
      <c r="Q2" s="45" t="s">
        <v>19</v>
      </c>
      <c r="R2" s="45"/>
      <c r="S2" s="45" t="s">
        <v>20</v>
      </c>
      <c r="T2" s="45"/>
    </row>
    <row r="3" spans="1:20" x14ac:dyDescent="0.25">
      <c r="A3" s="45"/>
      <c r="B3" s="15" t="s">
        <v>32</v>
      </c>
      <c r="C3" s="15" t="s">
        <v>33</v>
      </c>
      <c r="D3" s="15" t="s">
        <v>32</v>
      </c>
      <c r="E3" s="15" t="s">
        <v>33</v>
      </c>
      <c r="F3" s="15" t="s">
        <v>32</v>
      </c>
      <c r="G3" s="15" t="s">
        <v>33</v>
      </c>
      <c r="H3" s="15" t="s">
        <v>32</v>
      </c>
      <c r="I3" s="15" t="s">
        <v>33</v>
      </c>
      <c r="L3" s="45"/>
      <c r="M3" s="29" t="s">
        <v>32</v>
      </c>
      <c r="N3" s="29" t="s">
        <v>33</v>
      </c>
      <c r="O3" s="29" t="s">
        <v>32</v>
      </c>
      <c r="P3" s="29" t="s">
        <v>33</v>
      </c>
      <c r="Q3" s="29" t="s">
        <v>32</v>
      </c>
      <c r="R3" s="29" t="s">
        <v>33</v>
      </c>
      <c r="S3" s="29" t="s">
        <v>32</v>
      </c>
      <c r="T3" s="29" t="s">
        <v>33</v>
      </c>
    </row>
    <row r="4" spans="1:20" x14ac:dyDescent="0.25">
      <c r="A4" s="23" t="s">
        <v>31</v>
      </c>
      <c r="B4" s="24">
        <f>'Pore solution conductivity'!$O3/('Summary bulk conductivity'!B3/1000)</f>
        <v>120.67097378641026</v>
      </c>
      <c r="C4" s="24">
        <f>B4*SQRT(('Pore solution conductivity'!$P3/'Pore solution conductivity'!$O3)^2+('Summary bulk conductivity'!C3/'Summary bulk conductivity'!B3)^2)</f>
        <v>8.5327263856754829</v>
      </c>
      <c r="D4" s="24">
        <f>'Pore solution conductivity'!O3/('Summary bulk conductivity'!D3/1000)</f>
        <v>90.393447132423006</v>
      </c>
      <c r="E4" s="24">
        <f>D4*SQRT(('Pore solution conductivity'!$P3/'Pore solution conductivity'!$O3)^2+('Summary bulk conductivity'!E3/'Summary bulk conductivity'!D3)^2)</f>
        <v>6.3917819442164001</v>
      </c>
      <c r="F4" s="24">
        <f>'Pore solution conductivity'!O3/('Summary bulk conductivity'!F3/1000)</f>
        <v>586.44866073760716</v>
      </c>
      <c r="G4" s="24">
        <f>F4*SQRT(('Pore solution conductivity'!$P3/'Pore solution conductivity'!$O3)^2+('Summary bulk conductivity'!G3/'Summary bulk conductivity'!F3)^2)</f>
        <v>41.468182482533109</v>
      </c>
      <c r="H4" s="24">
        <f>'Pore solution conductivity'!O3/('Summary bulk conductivity'!H3/1000)</f>
        <v>372.29098339583078</v>
      </c>
      <c r="I4" s="24">
        <f>H4*SQRT(('Pore solution conductivity'!$P3/'Pore solution conductivity'!$O3)^2+('Summary bulk conductivity'!I3/'Summary bulk conductivity'!H3)^2)</f>
        <v>26.324947893380035</v>
      </c>
      <c r="J4" s="47" t="s">
        <v>50</v>
      </c>
      <c r="L4" s="23" t="s">
        <v>31</v>
      </c>
      <c r="M4" s="20">
        <f t="shared" ref="M4:M9" si="0">1/B4</f>
        <v>8.2869970186038068E-3</v>
      </c>
      <c r="N4" s="20">
        <f>0.05*M4</f>
        <v>4.1434985093019035E-4</v>
      </c>
      <c r="O4" s="20">
        <f t="shared" ref="O4:O9" si="1">1/D4</f>
        <v>1.1062748813362959E-2</v>
      </c>
      <c r="P4" s="20">
        <f>0.05*O4</f>
        <v>5.5313744066814801E-4</v>
      </c>
      <c r="Q4" s="20">
        <f>1/F4</f>
        <v>1.7051791008308344E-3</v>
      </c>
      <c r="R4" s="20">
        <f>0.05*Q4</f>
        <v>8.525895504154173E-5</v>
      </c>
      <c r="S4" s="20">
        <f>1/H4</f>
        <v>2.6860709622310956E-3</v>
      </c>
      <c r="T4" s="20">
        <f>0.05*S4</f>
        <v>1.3430354811155479E-4</v>
      </c>
    </row>
    <row r="5" spans="1:20" x14ac:dyDescent="0.25">
      <c r="A5" s="17" t="s">
        <v>12</v>
      </c>
      <c r="B5" s="24">
        <f>'Pore solution conductivity'!$O4/('Summary bulk conductivity'!B4/1000)</f>
        <v>196.5609945137906</v>
      </c>
      <c r="C5" s="24">
        <f>B5*SQRT(('Pore solution conductivity'!$P4/'Pore solution conductivity'!$O4)^2+('Summary bulk conductivity'!C4/'Summary bulk conductivity'!B4)^2)</f>
        <v>13.898961213747313</v>
      </c>
      <c r="D5" s="24">
        <f>'Pore solution conductivity'!$O4/('Summary bulk conductivity'!D4/1000)</f>
        <v>136.90111786729747</v>
      </c>
      <c r="E5" s="24">
        <f>D5*SQRT(('Pore solution conductivity'!$P4/'Pore solution conductivity'!$O4)^2+('Summary bulk conductivity'!E4/'Summary bulk conductivity'!D4)^2)</f>
        <v>9.6803708795984882</v>
      </c>
      <c r="F5" s="24">
        <f>'Pore solution conductivity'!$O4/('Summary bulk conductivity'!F4/1000)</f>
        <v>651.83467229148471</v>
      </c>
      <c r="G5" s="24">
        <f>F5*SQRT(('Pore solution conductivity'!$P4/'Pore solution conductivity'!$O4)^2+('Summary bulk conductivity'!G4/'Summary bulk conductivity'!F4)^2)</f>
        <v>46.09167169898199</v>
      </c>
      <c r="H5" s="24">
        <f>'Pore solution conductivity'!$O4/('Summary bulk conductivity'!H4/1000)</f>
        <v>456.35613771234051</v>
      </c>
      <c r="I5" s="24">
        <f>H5*SQRT(('Pore solution conductivity'!$P4/'Pore solution conductivity'!$O4)^2+('Summary bulk conductivity'!I4/'Summary bulk conductivity'!H4)^2)</f>
        <v>32.2692519612498</v>
      </c>
      <c r="J5" s="47"/>
      <c r="L5" s="28" t="s">
        <v>12</v>
      </c>
      <c r="M5" s="20">
        <f t="shared" si="0"/>
        <v>5.0874793469252652E-3</v>
      </c>
      <c r="N5" s="20">
        <f t="shared" ref="N5:N6" si="2">0.05*M5</f>
        <v>2.5437396734626327E-4</v>
      </c>
      <c r="O5" s="20">
        <f t="shared" si="1"/>
        <v>7.3045422534046157E-3</v>
      </c>
      <c r="P5" s="20">
        <f>0.05*O5</f>
        <v>3.6522711267023082E-4</v>
      </c>
      <c r="Q5" s="20">
        <f>1/F5</f>
        <v>1.5341313411337287E-3</v>
      </c>
      <c r="R5" s="20">
        <f>0.05*Q5</f>
        <v>7.6706567056686445E-5</v>
      </c>
      <c r="S5" s="20">
        <f>1/H5</f>
        <v>2.1912710652099085E-3</v>
      </c>
      <c r="T5" s="20">
        <f>0.05*S5</f>
        <v>1.0956355326049544E-4</v>
      </c>
    </row>
    <row r="6" spans="1:20" x14ac:dyDescent="0.25">
      <c r="A6" s="17" t="s">
        <v>13</v>
      </c>
      <c r="B6" s="24">
        <f>'Pore solution conductivity'!$O5/('Summary bulk conductivity'!B5/1000)</f>
        <v>241.06722841485831</v>
      </c>
      <c r="C6" s="24">
        <f>B6*SQRT(('Pore solution conductivity'!$P5/'Pore solution conductivity'!$O5)^2+('Summary bulk conductivity'!C5/'Summary bulk conductivity'!B5)^2)</f>
        <v>17.046027193399272</v>
      </c>
      <c r="D6" s="24">
        <f>'Pore solution conductivity'!$O5/('Summary bulk conductivity'!D5/1000)</f>
        <v>177.78713844542506</v>
      </c>
      <c r="E6" s="24">
        <f>D6*SQRT(('Pore solution conductivity'!$P5/'Pore solution conductivity'!$O5)^2+('Summary bulk conductivity'!E5/'Summary bulk conductivity'!D5)^2)</f>
        <v>12.571449120251163</v>
      </c>
      <c r="F6" s="24">
        <f>'Pore solution conductivity'!$O5/('Summary bulk conductivity'!F5/1000)</f>
        <v>711.3729522424951</v>
      </c>
      <c r="G6" s="24">
        <f>F6*SQRT(('Pore solution conductivity'!$P5/'Pore solution conductivity'!$O5)^2+('Summary bulk conductivity'!G5/'Summary bulk conductivity'!F5)^2)</f>
        <v>50.30166384833624</v>
      </c>
      <c r="H6" s="24">
        <f>'Pore solution conductivity'!$O5/('Summary bulk conductivity'!H5/1000)</f>
        <v>594.90631075907265</v>
      </c>
      <c r="I6" s="24">
        <f>H6*SQRT(('Pore solution conductivity'!$P5/'Pore solution conductivity'!$O5)^2+('Summary bulk conductivity'!I5/'Summary bulk conductivity'!H5)^2)</f>
        <v>42.066228650841182</v>
      </c>
      <c r="J6" s="47"/>
      <c r="L6" s="28" t="s">
        <v>13</v>
      </c>
      <c r="M6" s="20">
        <f t="shared" si="0"/>
        <v>4.14822042206034E-3</v>
      </c>
      <c r="N6" s="20">
        <f t="shared" si="2"/>
        <v>2.0741102110301702E-4</v>
      </c>
      <c r="O6" s="20">
        <f t="shared" si="1"/>
        <v>5.6247038382192527E-3</v>
      </c>
      <c r="P6" s="20">
        <f>0.05*O6</f>
        <v>2.8123519191096267E-4</v>
      </c>
      <c r="Q6" s="20">
        <f>1/F6</f>
        <v>1.4057323895259892E-3</v>
      </c>
      <c r="R6" s="20">
        <f>0.05*Q6</f>
        <v>7.0286619476299465E-5</v>
      </c>
      <c r="S6" s="20">
        <f>1/H6</f>
        <v>1.6809369507680071E-3</v>
      </c>
      <c r="T6" s="20">
        <f>0.05*S6</f>
        <v>8.4046847538400357E-5</v>
      </c>
    </row>
    <row r="7" spans="1:20" x14ac:dyDescent="0.25">
      <c r="A7" s="33" t="s">
        <v>31</v>
      </c>
      <c r="B7" s="24">
        <f>'Pore solution conductivity'!O6/('Summary bulk conductivity'!B3/1000)</f>
        <v>97.218940610073972</v>
      </c>
      <c r="C7" s="24">
        <f>B7*SQRT((0.05)^2+('Summary bulk conductivity'!C3/'Summary bulk conductivity'!B3)^2)</f>
        <v>6.874417216515555</v>
      </c>
      <c r="D7" s="24">
        <f>'Pore solution conductivity'!O6/('Summary bulk conductivity'!D3/1000)</f>
        <v>72.825758279383152</v>
      </c>
      <c r="E7" s="24">
        <f>D7*SQRT(('Pore solution conductivity'!$P6/'Pore solution conductivity'!$O6)^2+('Summary bulk conductivity'!E3/'Summary bulk conductivity'!D3)^2)</f>
        <v>5.1495587524404192</v>
      </c>
      <c r="J7" s="47" t="s">
        <v>51</v>
      </c>
      <c r="L7" s="33" t="s">
        <v>31</v>
      </c>
      <c r="M7" s="20">
        <f t="shared" si="0"/>
        <v>1.0286061478604289E-2</v>
      </c>
      <c r="N7" s="20">
        <f t="shared" ref="N7:N9" si="3">0.05*M7</f>
        <v>5.1430307393021452E-4</v>
      </c>
      <c r="O7" s="20">
        <f t="shared" si="1"/>
        <v>1.3731405255866705E-2</v>
      </c>
      <c r="P7" s="20">
        <f t="shared" ref="P7:P9" si="4">0.05*O7</f>
        <v>6.8657026279333533E-4</v>
      </c>
    </row>
    <row r="8" spans="1:20" x14ac:dyDescent="0.25">
      <c r="A8" s="31" t="s">
        <v>12</v>
      </c>
      <c r="B8" s="24">
        <f>'Pore solution conductivity'!O7/('Summary bulk conductivity'!B4/1000)</f>
        <v>135.68796133457485</v>
      </c>
      <c r="C8" s="24">
        <f>B8*SQRT((0.05)^2+('Summary bulk conductivity'!C4/'Summary bulk conductivity'!B4)^2)</f>
        <v>9.594587758505595</v>
      </c>
      <c r="D8" s="24">
        <f>'Pore solution conductivity'!O7/('Summary bulk conductivity'!D4/1000)</f>
        <v>94.504169730046129</v>
      </c>
      <c r="E8" s="24">
        <f>D8*SQRT(('Pore solution conductivity'!$P7/'Pore solution conductivity'!$O7)^2+('Summary bulk conductivity'!E4/'Summary bulk conductivity'!D4)^2)</f>
        <v>6.6824539266520091</v>
      </c>
      <c r="J8" s="47"/>
      <c r="L8" s="31" t="s">
        <v>12</v>
      </c>
      <c r="M8" s="20">
        <f t="shared" si="0"/>
        <v>7.3698505760156083E-3</v>
      </c>
      <c r="N8" s="20">
        <f t="shared" si="3"/>
        <v>3.6849252880078045E-4</v>
      </c>
      <c r="O8" s="20">
        <f t="shared" si="1"/>
        <v>1.0581543680628365E-2</v>
      </c>
      <c r="P8" s="20">
        <f t="shared" si="4"/>
        <v>5.2907718403141823E-4</v>
      </c>
    </row>
    <row r="9" spans="1:20" x14ac:dyDescent="0.25">
      <c r="A9" s="31" t="s">
        <v>13</v>
      </c>
      <c r="B9" s="24">
        <f>'Pore solution conductivity'!O8/('Summary bulk conductivity'!B5/1000)</f>
        <v>140.74102402285604</v>
      </c>
      <c r="C9" s="24">
        <f>B9*SQRT((0.05)^2+('Summary bulk conductivity'!C5/'Summary bulk conductivity'!B5)^2)</f>
        <v>9.9518932477700304</v>
      </c>
      <c r="D9" s="24">
        <f>'Pore solution conductivity'!O8/('Summary bulk conductivity'!D5/1000)</f>
        <v>103.79653878063235</v>
      </c>
      <c r="E9" s="24">
        <f>D9*SQRT(('Pore solution conductivity'!$P8/'Pore solution conductivity'!$O8)^2+('Summary bulk conductivity'!E5/'Summary bulk conductivity'!D5)^2)</f>
        <v>7.3395236435477607</v>
      </c>
      <c r="J9" s="47"/>
      <c r="L9" s="31" t="s">
        <v>13</v>
      </c>
      <c r="M9" s="20">
        <f t="shared" si="0"/>
        <v>7.1052488564926327E-3</v>
      </c>
      <c r="N9" s="20">
        <f t="shared" si="3"/>
        <v>3.5526244282463163E-4</v>
      </c>
      <c r="O9" s="20">
        <f t="shared" si="1"/>
        <v>9.6342326222788512E-3</v>
      </c>
      <c r="P9" s="20">
        <f t="shared" si="4"/>
        <v>4.8171163111394258E-4</v>
      </c>
    </row>
    <row r="13" spans="1:20" x14ac:dyDescent="0.25">
      <c r="L13" s="1"/>
      <c r="M13" s="1"/>
      <c r="N13" s="1"/>
      <c r="O13" s="1"/>
      <c r="P13" s="34" t="s">
        <v>43</v>
      </c>
      <c r="Q13" s="41">
        <v>1.365324681621066</v>
      </c>
      <c r="R13" s="34" t="s">
        <v>44</v>
      </c>
      <c r="S13" s="41">
        <v>0</v>
      </c>
    </row>
    <row r="14" spans="1:20" x14ac:dyDescent="0.25">
      <c r="L14" s="1"/>
      <c r="M14" s="1"/>
      <c r="N14" s="34" t="s">
        <v>11</v>
      </c>
      <c r="O14" s="34" t="s">
        <v>16</v>
      </c>
      <c r="P14" s="34" t="s">
        <v>45</v>
      </c>
      <c r="Q14" s="34" t="s">
        <v>46</v>
      </c>
      <c r="R14" s="34" t="s">
        <v>47</v>
      </c>
      <c r="S14" s="34" t="s">
        <v>48</v>
      </c>
      <c r="T14" s="1"/>
    </row>
    <row r="15" spans="1:20" x14ac:dyDescent="0.25">
      <c r="L15" s="47" t="s">
        <v>14</v>
      </c>
      <c r="M15" s="16" t="s">
        <v>31</v>
      </c>
      <c r="N15" s="37">
        <f>M4</f>
        <v>8.2869970186038068E-3</v>
      </c>
      <c r="O15" s="38">
        <f>O4</f>
        <v>1.1062748813362959E-2</v>
      </c>
      <c r="P15" s="35">
        <f t="shared" ref="P15:P20" si="5">N15*$Q$13+$S$13</f>
        <v>1.1314441566019965E-2</v>
      </c>
      <c r="Q15" s="35">
        <f>(O15-P15)^2</f>
        <v>6.3349241740060648E-8</v>
      </c>
      <c r="R15" s="35">
        <f t="shared" ref="R15:R20" si="6">(O15-AVERAGE($O$15:$O$20))^2</f>
        <v>3.5653276878325225E-5</v>
      </c>
      <c r="S15" s="3"/>
      <c r="T15" s="1"/>
    </row>
    <row r="16" spans="1:20" x14ac:dyDescent="0.25">
      <c r="L16" s="47"/>
      <c r="M16" s="30" t="s">
        <v>12</v>
      </c>
      <c r="N16" s="38">
        <f>M5</f>
        <v>5.0874793469252652E-3</v>
      </c>
      <c r="O16" s="38">
        <f>O5</f>
        <v>7.3045422534046157E-3</v>
      </c>
      <c r="P16" s="35">
        <f t="shared" si="5"/>
        <v>6.946061119594487E-3</v>
      </c>
      <c r="Q16" s="35">
        <f t="shared" ref="Q16:Q20" si="7">(O16-P16)^2</f>
        <v>1.2850872329779537E-7</v>
      </c>
      <c r="R16" s="35">
        <f t="shared" si="6"/>
        <v>4.8966163413185925E-6</v>
      </c>
      <c r="S16" s="3"/>
      <c r="T16" s="1"/>
    </row>
    <row r="17" spans="4:20" x14ac:dyDescent="0.25">
      <c r="L17" s="47"/>
      <c r="M17" s="30" t="s">
        <v>13</v>
      </c>
      <c r="N17" s="38">
        <f>M6</f>
        <v>4.14822042206034E-3</v>
      </c>
      <c r="O17" s="38">
        <f>O6</f>
        <v>5.6247038382192527E-3</v>
      </c>
      <c r="P17" s="35">
        <f t="shared" si="5"/>
        <v>5.6636677270435381E-3</v>
      </c>
      <c r="Q17" s="35">
        <f t="shared" si="7"/>
        <v>1.5181846323112704E-9</v>
      </c>
      <c r="R17" s="35">
        <f t="shared" si="6"/>
        <v>2.8407996503243259E-7</v>
      </c>
      <c r="S17" s="3"/>
      <c r="T17" s="1"/>
    </row>
    <row r="18" spans="4:20" x14ac:dyDescent="0.25">
      <c r="L18" s="32" t="s">
        <v>15</v>
      </c>
      <c r="M18" s="16" t="s">
        <v>31</v>
      </c>
      <c r="N18" s="37">
        <f>Q4</f>
        <v>1.7051791008308344E-3</v>
      </c>
      <c r="O18" s="38">
        <f>S4</f>
        <v>2.6860709622310956E-3</v>
      </c>
      <c r="P18" s="35">
        <f t="shared" si="5"/>
        <v>2.3281231129487546E-3</v>
      </c>
      <c r="Q18" s="35">
        <f t="shared" si="7"/>
        <v>1.2812666280585353E-7</v>
      </c>
      <c r="R18" s="35">
        <f t="shared" si="6"/>
        <v>5.7871103126956802E-6</v>
      </c>
      <c r="S18" s="3"/>
      <c r="T18" s="1"/>
    </row>
    <row r="19" spans="4:20" x14ac:dyDescent="0.25">
      <c r="L19" s="32"/>
      <c r="M19" s="32" t="s">
        <v>12</v>
      </c>
      <c r="N19" s="38">
        <f>Q5</f>
        <v>1.5341313411337287E-3</v>
      </c>
      <c r="O19" s="38">
        <f>S5</f>
        <v>2.1912710652099085E-3</v>
      </c>
      <c r="P19" s="35">
        <f t="shared" si="5"/>
        <v>2.094587384898307E-3</v>
      </c>
      <c r="Q19" s="35">
        <f t="shared" si="7"/>
        <v>9.3477340385959611E-9</v>
      </c>
      <c r="R19" s="35">
        <f t="shared" si="6"/>
        <v>8.4125594369055514E-6</v>
      </c>
      <c r="S19" s="3"/>
      <c r="T19" s="1"/>
    </row>
    <row r="20" spans="4:20" x14ac:dyDescent="0.25">
      <c r="L20" s="32"/>
      <c r="M20" s="32" t="s">
        <v>13</v>
      </c>
      <c r="N20" s="38">
        <f>Q6</f>
        <v>1.4057323895259892E-3</v>
      </c>
      <c r="O20" s="38">
        <f>S6</f>
        <v>1.6809369507680071E-3</v>
      </c>
      <c r="P20" s="35">
        <f t="shared" si="5"/>
        <v>1.9192811271739915E-3</v>
      </c>
      <c r="Q20" s="35">
        <f t="shared" si="7"/>
        <v>5.6807946426646992E-8</v>
      </c>
      <c r="R20" s="35">
        <f t="shared" si="6"/>
        <v>1.1633388577516064E-5</v>
      </c>
      <c r="S20" s="3"/>
      <c r="T20" s="1"/>
    </row>
    <row r="21" spans="4:20" x14ac:dyDescent="0.25">
      <c r="D21" s="1"/>
      <c r="L21" s="1"/>
      <c r="M21" s="1"/>
      <c r="N21" s="1"/>
      <c r="P21" s="3" t="s">
        <v>49</v>
      </c>
      <c r="Q21" s="35">
        <f>SUM(Q15:Q20)</f>
        <v>3.8765849294126378E-7</v>
      </c>
      <c r="R21" s="18">
        <f>SUM(R15:R20)</f>
        <v>6.6667031511793545E-5</v>
      </c>
      <c r="S21" s="40">
        <f>1-(Q21/R21)</f>
        <v>0.99418515442865207</v>
      </c>
      <c r="T21" s="1"/>
    </row>
    <row r="30" spans="4:20" x14ac:dyDescent="0.25">
      <c r="D30" s="1"/>
      <c r="E30" s="1"/>
      <c r="F30" s="1"/>
      <c r="G30" s="1"/>
    </row>
  </sheetData>
  <mergeCells count="15">
    <mergeCell ref="L15:L17"/>
    <mergeCell ref="A1:I1"/>
    <mergeCell ref="L1:T1"/>
    <mergeCell ref="L2:L3"/>
    <mergeCell ref="M2:N2"/>
    <mergeCell ref="O2:P2"/>
    <mergeCell ref="Q2:R2"/>
    <mergeCell ref="S2:T2"/>
    <mergeCell ref="A2:A3"/>
    <mergeCell ref="B2:C2"/>
    <mergeCell ref="D2:E2"/>
    <mergeCell ref="F2:G2"/>
    <mergeCell ref="H2:I2"/>
    <mergeCell ref="J4:J6"/>
    <mergeCell ref="J7:J9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C409F9-B48D-47CD-809C-C2CB4A9AB77D}">
  <dimension ref="B18:R20"/>
  <sheetViews>
    <sheetView tabSelected="1" zoomScale="115" zoomScaleNormal="115" workbookViewId="0">
      <selection activeCell="J21" sqref="J21"/>
    </sheetView>
  </sheetViews>
  <sheetFormatPr defaultRowHeight="15" x14ac:dyDescent="0.25"/>
  <sheetData>
    <row r="18" spans="2:18" x14ac:dyDescent="0.25">
      <c r="B18" s="21" t="s">
        <v>50</v>
      </c>
      <c r="C18" s="21" t="s">
        <v>51</v>
      </c>
      <c r="Q18" s="21" t="s">
        <v>11</v>
      </c>
      <c r="R18" s="21" t="s">
        <v>16</v>
      </c>
    </row>
    <row r="19" spans="2:18" x14ac:dyDescent="0.25">
      <c r="B19" s="21">
        <v>0</v>
      </c>
      <c r="C19" s="24">
        <f>B19*'Pore solution conductivity'!$E$10+'Pore solution conductivity'!$G$10</f>
        <v>-5.3556005780583558</v>
      </c>
      <c r="Q19" s="21">
        <v>0</v>
      </c>
      <c r="R19" s="21">
        <f>Q19*'Summary bulk conductivity'!$F$8</f>
        <v>0</v>
      </c>
    </row>
    <row r="20" spans="2:18" x14ac:dyDescent="0.25">
      <c r="B20" s="21">
        <v>15</v>
      </c>
      <c r="C20" s="24">
        <f>B20*'Pore solution conductivity'!$E$10+'Pore solution conductivity'!$G$10</f>
        <v>15.244768792486335</v>
      </c>
      <c r="Q20" s="21">
        <v>120</v>
      </c>
      <c r="R20" s="24">
        <f>Q20*'Summary bulk conductivity'!$F$8</f>
        <v>88.064707166801909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Pore solution conductivity</vt:lpstr>
      <vt:lpstr>Bulk conductivity</vt:lpstr>
      <vt:lpstr>Summary bulk conductivity</vt:lpstr>
      <vt:lpstr>Formation factor</vt:lpstr>
      <vt:lpstr>Graphs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Maxime Ranger</dc:creator>
  <cp:lastModifiedBy>Maxime Ranger</cp:lastModifiedBy>
  <dcterms:created xsi:type="dcterms:W3CDTF">2015-06-05T18:19:34Z</dcterms:created>
  <dcterms:modified xsi:type="dcterms:W3CDTF">2023-06-23T08:17:52Z</dcterms:modified>
</cp:coreProperties>
</file>