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dtudk-my.sharepoint.com/personal/maug_dtu_dk/Documents/PhD/Publications/4. Paper 4/Data/"/>
    </mc:Choice>
  </mc:AlternateContent>
  <xr:revisionPtr revIDLastSave="292" documentId="13_ncr:1_{8AE4EF3A-8E23-4A7F-8E12-085FD2167111}" xr6:coauthVersionLast="47" xr6:coauthVersionMax="47" xr10:uidLastSave="{ECFD62F0-FB7C-49F4-86F1-3F7CE5019937}"/>
  <bookViews>
    <workbookView xWindow="-110" yWindow="-110" windowWidth="19420" windowHeight="11500" tabRatio="738" xr2:uid="{00000000-000D-0000-FFFF-FFFF00000000}"/>
  </bookViews>
  <sheets>
    <sheet name="Overview" sheetId="12" r:id="rId1"/>
    <sheet name="Alkalis" sheetId="41" r:id="rId2"/>
    <sheet name="LA-REF" sheetId="28" r:id="rId3"/>
    <sheet name="HA-REF" sheetId="29" r:id="rId4"/>
    <sheet name="LA-BA1" sheetId="33" r:id="rId5"/>
    <sheet name="LA-BA2" sheetId="32" r:id="rId6"/>
    <sheet name="LA-GB" sheetId="37" r:id="rId7"/>
    <sheet name="HA-CC1" sheetId="34" r:id="rId8"/>
    <sheet name="HA-CC2" sheetId="35" r:id="rId9"/>
    <sheet name="HA-CB" sheetId="38" r:id="rId10"/>
    <sheet name="HA-SSA" sheetId="39" r:id="rId11"/>
    <sheet name="HA-FA" sheetId="36" r:id="rId12"/>
    <sheet name="Alkali leaching" sheetId="27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9" i="32" l="1"/>
  <c r="P8" i="28"/>
  <c r="P7" i="28"/>
  <c r="G32" i="36"/>
  <c r="F32" i="36"/>
  <c r="G32" i="39"/>
  <c r="F32" i="39"/>
  <c r="G32" i="38"/>
  <c r="F32" i="38"/>
  <c r="G32" i="35"/>
  <c r="F32" i="35"/>
  <c r="G32" i="34"/>
  <c r="F32" i="34"/>
  <c r="G32" i="37"/>
  <c r="F32" i="37"/>
  <c r="G32" i="32"/>
  <c r="F32" i="32"/>
  <c r="G32" i="33"/>
  <c r="F32" i="33"/>
  <c r="G32" i="29"/>
  <c r="F32" i="29"/>
  <c r="G32" i="28"/>
  <c r="F32" i="28"/>
  <c r="L4" i="41"/>
  <c r="E8" i="28"/>
  <c r="M8" i="29"/>
  <c r="M9" i="29"/>
  <c r="M10" i="29"/>
  <c r="M11" i="29"/>
  <c r="M12" i="29"/>
  <c r="M13" i="29"/>
  <c r="M14" i="29"/>
  <c r="M15" i="29"/>
  <c r="M16" i="29"/>
  <c r="M17" i="29"/>
  <c r="M8" i="33"/>
  <c r="M9" i="33"/>
  <c r="M10" i="33"/>
  <c r="M11" i="33"/>
  <c r="M12" i="33"/>
  <c r="M13" i="33"/>
  <c r="M14" i="33"/>
  <c r="M15" i="33"/>
  <c r="M16" i="33"/>
  <c r="M17" i="33"/>
  <c r="M8" i="32"/>
  <c r="M9" i="32"/>
  <c r="M10" i="32"/>
  <c r="M11" i="32"/>
  <c r="M12" i="32"/>
  <c r="M13" i="32"/>
  <c r="M14" i="32"/>
  <c r="M15" i="32"/>
  <c r="M16" i="32"/>
  <c r="M17" i="32"/>
  <c r="M8" i="37"/>
  <c r="M9" i="37"/>
  <c r="M10" i="37"/>
  <c r="M11" i="37"/>
  <c r="M12" i="37"/>
  <c r="M13" i="37"/>
  <c r="M14" i="37"/>
  <c r="M15" i="37"/>
  <c r="M16" i="37"/>
  <c r="M17" i="37"/>
  <c r="M8" i="34"/>
  <c r="M9" i="34"/>
  <c r="M10" i="34"/>
  <c r="M11" i="34"/>
  <c r="M12" i="34"/>
  <c r="M13" i="34"/>
  <c r="M14" i="34"/>
  <c r="M15" i="34"/>
  <c r="M16" i="34"/>
  <c r="M17" i="34"/>
  <c r="M8" i="35"/>
  <c r="M9" i="35"/>
  <c r="M10" i="35"/>
  <c r="M11" i="35"/>
  <c r="M12" i="35"/>
  <c r="M13" i="35"/>
  <c r="M14" i="35"/>
  <c r="M15" i="35"/>
  <c r="M16" i="35"/>
  <c r="M17" i="35"/>
  <c r="M8" i="38"/>
  <c r="M9" i="38"/>
  <c r="M10" i="38"/>
  <c r="M11" i="38"/>
  <c r="M12" i="38"/>
  <c r="M13" i="38"/>
  <c r="M14" i="38"/>
  <c r="M15" i="38"/>
  <c r="M16" i="38"/>
  <c r="M17" i="38"/>
  <c r="M8" i="39"/>
  <c r="M9" i="39"/>
  <c r="M10" i="39"/>
  <c r="M11" i="39"/>
  <c r="M12" i="39"/>
  <c r="M13" i="39"/>
  <c r="M14" i="39"/>
  <c r="M15" i="39"/>
  <c r="M16" i="39"/>
  <c r="M17" i="39"/>
  <c r="M8" i="36"/>
  <c r="M9" i="36"/>
  <c r="M10" i="36"/>
  <c r="M11" i="36"/>
  <c r="M12" i="36"/>
  <c r="M13" i="36"/>
  <c r="M14" i="36"/>
  <c r="M15" i="36"/>
  <c r="M16" i="36"/>
  <c r="M17" i="36"/>
  <c r="M8" i="28"/>
  <c r="M9" i="28"/>
  <c r="M10" i="28"/>
  <c r="M11" i="28"/>
  <c r="M12" i="28"/>
  <c r="M13" i="28"/>
  <c r="M14" i="28"/>
  <c r="M15" i="28"/>
  <c r="M16" i="28"/>
  <c r="M17" i="28"/>
  <c r="M7" i="29"/>
  <c r="M7" i="33"/>
  <c r="M7" i="32"/>
  <c r="M7" i="37"/>
  <c r="M7" i="34"/>
  <c r="M7" i="35"/>
  <c r="M7" i="38"/>
  <c r="M7" i="39"/>
  <c r="M7" i="36"/>
  <c r="M7" i="28"/>
  <c r="M6" i="29"/>
  <c r="M6" i="33"/>
  <c r="M6" i="32"/>
  <c r="M6" i="37"/>
  <c r="M6" i="34"/>
  <c r="M6" i="35"/>
  <c r="M6" i="38"/>
  <c r="M6" i="39"/>
  <c r="M6" i="36"/>
  <c r="M6" i="28"/>
  <c r="I8" i="29"/>
  <c r="I9" i="29"/>
  <c r="I10" i="29"/>
  <c r="I11" i="29"/>
  <c r="I12" i="29"/>
  <c r="I13" i="29"/>
  <c r="I14" i="29"/>
  <c r="I15" i="29"/>
  <c r="I16" i="29"/>
  <c r="I17" i="29"/>
  <c r="I8" i="33"/>
  <c r="I9" i="33"/>
  <c r="I10" i="33"/>
  <c r="I11" i="33"/>
  <c r="I12" i="33"/>
  <c r="I13" i="33"/>
  <c r="I14" i="33"/>
  <c r="I15" i="33"/>
  <c r="I16" i="33"/>
  <c r="I17" i="33"/>
  <c r="I8" i="32"/>
  <c r="I9" i="32"/>
  <c r="I10" i="32"/>
  <c r="I11" i="32"/>
  <c r="I12" i="32"/>
  <c r="I13" i="32"/>
  <c r="I14" i="32"/>
  <c r="I15" i="32"/>
  <c r="I16" i="32"/>
  <c r="I17" i="32"/>
  <c r="I8" i="37"/>
  <c r="I9" i="37"/>
  <c r="I10" i="37"/>
  <c r="I11" i="37"/>
  <c r="I12" i="37"/>
  <c r="I13" i="37"/>
  <c r="I14" i="37"/>
  <c r="I15" i="37"/>
  <c r="I16" i="37"/>
  <c r="I17" i="37"/>
  <c r="I8" i="34"/>
  <c r="I9" i="34"/>
  <c r="I10" i="34"/>
  <c r="I11" i="34"/>
  <c r="I12" i="34"/>
  <c r="I13" i="34"/>
  <c r="I14" i="34"/>
  <c r="I15" i="34"/>
  <c r="I16" i="34"/>
  <c r="I17" i="34"/>
  <c r="I8" i="35"/>
  <c r="I9" i="35"/>
  <c r="I10" i="35"/>
  <c r="I11" i="35"/>
  <c r="I12" i="35"/>
  <c r="I13" i="35"/>
  <c r="I14" i="35"/>
  <c r="I15" i="35"/>
  <c r="I16" i="35"/>
  <c r="I17" i="35"/>
  <c r="I8" i="38"/>
  <c r="I9" i="38"/>
  <c r="I10" i="38"/>
  <c r="I11" i="38"/>
  <c r="I12" i="38"/>
  <c r="I13" i="38"/>
  <c r="I14" i="38"/>
  <c r="I15" i="38"/>
  <c r="I16" i="38"/>
  <c r="I17" i="38"/>
  <c r="I8" i="39"/>
  <c r="I9" i="39"/>
  <c r="I10" i="39"/>
  <c r="I11" i="39"/>
  <c r="I12" i="39"/>
  <c r="I13" i="39"/>
  <c r="I14" i="39"/>
  <c r="I15" i="39"/>
  <c r="I16" i="39"/>
  <c r="I17" i="39"/>
  <c r="I8" i="36"/>
  <c r="I9" i="36"/>
  <c r="I10" i="36"/>
  <c r="I11" i="36"/>
  <c r="I12" i="36"/>
  <c r="I13" i="36"/>
  <c r="I14" i="36"/>
  <c r="I15" i="36"/>
  <c r="I16" i="36"/>
  <c r="I17" i="36"/>
  <c r="I8" i="27"/>
  <c r="I9" i="27"/>
  <c r="I10" i="27"/>
  <c r="I11" i="27"/>
  <c r="I12" i="27"/>
  <c r="I13" i="27"/>
  <c r="I8" i="28"/>
  <c r="I9" i="28"/>
  <c r="I10" i="28"/>
  <c r="I11" i="28"/>
  <c r="I12" i="28"/>
  <c r="I13" i="28"/>
  <c r="I14" i="28"/>
  <c r="I15" i="28"/>
  <c r="I16" i="28"/>
  <c r="I17" i="28"/>
  <c r="I7" i="29"/>
  <c r="I7" i="33"/>
  <c r="I7" i="32"/>
  <c r="I7" i="37"/>
  <c r="I7" i="34"/>
  <c r="I7" i="35"/>
  <c r="I7" i="38"/>
  <c r="I7" i="39"/>
  <c r="I7" i="36"/>
  <c r="I7" i="27"/>
  <c r="I7" i="28"/>
  <c r="I6" i="29"/>
  <c r="I6" i="33"/>
  <c r="I6" i="32"/>
  <c r="I6" i="37"/>
  <c r="I6" i="34"/>
  <c r="I6" i="35"/>
  <c r="I6" i="38"/>
  <c r="I6" i="39"/>
  <c r="I6" i="36"/>
  <c r="I6" i="27"/>
  <c r="I6" i="28"/>
  <c r="E8" i="29"/>
  <c r="E9" i="29"/>
  <c r="E10" i="29"/>
  <c r="E11" i="29"/>
  <c r="E12" i="29"/>
  <c r="E13" i="29"/>
  <c r="E14" i="29"/>
  <c r="E15" i="29"/>
  <c r="E16" i="29"/>
  <c r="E17" i="29"/>
  <c r="E8" i="33"/>
  <c r="E9" i="33"/>
  <c r="E10" i="33"/>
  <c r="E11" i="33"/>
  <c r="E12" i="33"/>
  <c r="E13" i="33"/>
  <c r="E14" i="33"/>
  <c r="E15" i="33"/>
  <c r="E16" i="33"/>
  <c r="E17" i="33"/>
  <c r="E8" i="32"/>
  <c r="E9" i="32"/>
  <c r="E10" i="32"/>
  <c r="E11" i="32"/>
  <c r="E12" i="32"/>
  <c r="E13" i="32"/>
  <c r="E14" i="32"/>
  <c r="E15" i="32"/>
  <c r="E16" i="32"/>
  <c r="E17" i="32"/>
  <c r="E8" i="37"/>
  <c r="E9" i="37"/>
  <c r="E10" i="37"/>
  <c r="E11" i="37"/>
  <c r="E12" i="37"/>
  <c r="E13" i="37"/>
  <c r="E14" i="37"/>
  <c r="E15" i="37"/>
  <c r="E16" i="37"/>
  <c r="E17" i="37"/>
  <c r="E8" i="34"/>
  <c r="E9" i="34"/>
  <c r="E10" i="34"/>
  <c r="E11" i="34"/>
  <c r="E12" i="34"/>
  <c r="E13" i="34"/>
  <c r="E14" i="34"/>
  <c r="E15" i="34"/>
  <c r="E16" i="34"/>
  <c r="E17" i="34"/>
  <c r="E8" i="35"/>
  <c r="E9" i="35"/>
  <c r="E10" i="35"/>
  <c r="E11" i="35"/>
  <c r="E12" i="35"/>
  <c r="E13" i="35"/>
  <c r="E14" i="35"/>
  <c r="E15" i="35"/>
  <c r="E16" i="35"/>
  <c r="E17" i="35"/>
  <c r="E8" i="38"/>
  <c r="E9" i="38"/>
  <c r="E10" i="38"/>
  <c r="E11" i="38"/>
  <c r="E12" i="38"/>
  <c r="E13" i="38"/>
  <c r="E14" i="38"/>
  <c r="E15" i="38"/>
  <c r="E16" i="38"/>
  <c r="E17" i="38"/>
  <c r="E8" i="39"/>
  <c r="E9" i="39"/>
  <c r="E10" i="39"/>
  <c r="E11" i="39"/>
  <c r="E12" i="39"/>
  <c r="E13" i="39"/>
  <c r="E14" i="39"/>
  <c r="E15" i="39"/>
  <c r="E16" i="39"/>
  <c r="E17" i="39"/>
  <c r="E8" i="36"/>
  <c r="E9" i="36"/>
  <c r="E10" i="36"/>
  <c r="E11" i="36"/>
  <c r="E12" i="36"/>
  <c r="E13" i="36"/>
  <c r="E14" i="36"/>
  <c r="E15" i="36"/>
  <c r="E16" i="36"/>
  <c r="E17" i="36"/>
  <c r="E8" i="27"/>
  <c r="E9" i="27"/>
  <c r="E10" i="27"/>
  <c r="E11" i="27"/>
  <c r="E12" i="27"/>
  <c r="E13" i="27"/>
  <c r="E9" i="28"/>
  <c r="E10" i="28"/>
  <c r="E11" i="28"/>
  <c r="E12" i="28"/>
  <c r="E13" i="28"/>
  <c r="E14" i="28"/>
  <c r="E15" i="28"/>
  <c r="E16" i="28"/>
  <c r="E17" i="28"/>
  <c r="E7" i="29"/>
  <c r="E7" i="33"/>
  <c r="E7" i="32"/>
  <c r="E7" i="37"/>
  <c r="E7" i="34"/>
  <c r="E7" i="35"/>
  <c r="E7" i="38"/>
  <c r="E7" i="39"/>
  <c r="E7" i="36"/>
  <c r="E7" i="27"/>
  <c r="E7" i="28"/>
  <c r="E6" i="29"/>
  <c r="E6" i="33"/>
  <c r="E6" i="32"/>
  <c r="E6" i="37"/>
  <c r="E6" i="34"/>
  <c r="E6" i="35"/>
  <c r="E6" i="38"/>
  <c r="E6" i="39"/>
  <c r="E6" i="36"/>
  <c r="E6" i="27"/>
  <c r="E6" i="28"/>
  <c r="M31" i="29"/>
  <c r="M31" i="28"/>
  <c r="M30" i="29"/>
  <c r="M30" i="28"/>
  <c r="L31" i="29"/>
  <c r="L31" i="28"/>
  <c r="L30" i="29"/>
  <c r="L30" i="28"/>
  <c r="H31" i="29"/>
  <c r="J31" i="29" s="1"/>
  <c r="H32" i="29"/>
  <c r="L32" i="29" s="1"/>
  <c r="L33" i="29" s="1"/>
  <c r="I32" i="29"/>
  <c r="M25" i="29"/>
  <c r="M26" i="29"/>
  <c r="M27" i="29"/>
  <c r="M28" i="29"/>
  <c r="M29" i="29"/>
  <c r="M25" i="33"/>
  <c r="M26" i="33"/>
  <c r="M27" i="33"/>
  <c r="M28" i="33"/>
  <c r="M29" i="33"/>
  <c r="M30" i="33"/>
  <c r="M31" i="33"/>
  <c r="M33" i="33"/>
  <c r="M25" i="32"/>
  <c r="M26" i="32"/>
  <c r="M27" i="32"/>
  <c r="M28" i="32"/>
  <c r="M29" i="32"/>
  <c r="M30" i="32"/>
  <c r="M31" i="32"/>
  <c r="M33" i="32"/>
  <c r="M25" i="37"/>
  <c r="M26" i="37"/>
  <c r="M27" i="37"/>
  <c r="M28" i="37"/>
  <c r="M29" i="37"/>
  <c r="M30" i="37"/>
  <c r="M31" i="37"/>
  <c r="M33" i="37"/>
  <c r="M25" i="34"/>
  <c r="M26" i="34"/>
  <c r="M27" i="34"/>
  <c r="M28" i="34"/>
  <c r="M29" i="34"/>
  <c r="M30" i="34"/>
  <c r="M31" i="34"/>
  <c r="M33" i="34"/>
  <c r="M25" i="35"/>
  <c r="M26" i="35"/>
  <c r="M27" i="35"/>
  <c r="M28" i="35"/>
  <c r="M29" i="35"/>
  <c r="M30" i="35"/>
  <c r="M31" i="35"/>
  <c r="M33" i="35"/>
  <c r="M25" i="38"/>
  <c r="M26" i="38"/>
  <c r="M27" i="38"/>
  <c r="M28" i="38"/>
  <c r="M29" i="38"/>
  <c r="M30" i="38"/>
  <c r="M31" i="38"/>
  <c r="M33" i="38"/>
  <c r="M25" i="39"/>
  <c r="M26" i="39"/>
  <c r="M27" i="39"/>
  <c r="M28" i="39"/>
  <c r="M29" i="39"/>
  <c r="M30" i="39"/>
  <c r="M31" i="39"/>
  <c r="M33" i="39"/>
  <c r="M25" i="36"/>
  <c r="M26" i="36"/>
  <c r="M27" i="36"/>
  <c r="M28" i="36"/>
  <c r="M29" i="36"/>
  <c r="M30" i="36"/>
  <c r="M31" i="36"/>
  <c r="M33" i="36"/>
  <c r="M25" i="28"/>
  <c r="M26" i="28"/>
  <c r="M27" i="28"/>
  <c r="M28" i="28"/>
  <c r="M29" i="28"/>
  <c r="M24" i="29"/>
  <c r="M24" i="33"/>
  <c r="M24" i="32"/>
  <c r="M24" i="37"/>
  <c r="M24" i="34"/>
  <c r="M24" i="35"/>
  <c r="M24" i="38"/>
  <c r="M24" i="39"/>
  <c r="M24" i="36"/>
  <c r="M24" i="28"/>
  <c r="L25" i="29"/>
  <c r="L26" i="29"/>
  <c r="L27" i="29"/>
  <c r="L28" i="29"/>
  <c r="L29" i="29"/>
  <c r="L25" i="33"/>
  <c r="L26" i="33"/>
  <c r="L27" i="33"/>
  <c r="L28" i="33"/>
  <c r="L29" i="33"/>
  <c r="L30" i="33"/>
  <c r="L31" i="33"/>
  <c r="L33" i="33"/>
  <c r="L25" i="32"/>
  <c r="L26" i="32"/>
  <c r="L27" i="32"/>
  <c r="L28" i="32"/>
  <c r="L29" i="32"/>
  <c r="L30" i="32"/>
  <c r="L31" i="32"/>
  <c r="L33" i="32"/>
  <c r="L25" i="37"/>
  <c r="L26" i="37"/>
  <c r="L27" i="37"/>
  <c r="L28" i="37"/>
  <c r="L29" i="37"/>
  <c r="L30" i="37"/>
  <c r="L31" i="37"/>
  <c r="L33" i="37"/>
  <c r="L25" i="34"/>
  <c r="L26" i="34"/>
  <c r="L27" i="34"/>
  <c r="L28" i="34"/>
  <c r="L29" i="34"/>
  <c r="L30" i="34"/>
  <c r="L31" i="34"/>
  <c r="L33" i="34"/>
  <c r="L25" i="35"/>
  <c r="L26" i="35"/>
  <c r="L27" i="35"/>
  <c r="L28" i="35"/>
  <c r="L29" i="35"/>
  <c r="L30" i="35"/>
  <c r="L31" i="35"/>
  <c r="L33" i="35"/>
  <c r="L25" i="38"/>
  <c r="L26" i="38"/>
  <c r="L27" i="38"/>
  <c r="L28" i="38"/>
  <c r="L29" i="38"/>
  <c r="L30" i="38"/>
  <c r="L31" i="38"/>
  <c r="L33" i="38"/>
  <c r="L25" i="39"/>
  <c r="L26" i="39"/>
  <c r="L27" i="39"/>
  <c r="L28" i="39"/>
  <c r="L29" i="39"/>
  <c r="L30" i="39"/>
  <c r="L31" i="39"/>
  <c r="L33" i="39"/>
  <c r="L25" i="36"/>
  <c r="L26" i="36"/>
  <c r="L27" i="36"/>
  <c r="L28" i="36"/>
  <c r="L29" i="36"/>
  <c r="L30" i="36"/>
  <c r="L31" i="36"/>
  <c r="L33" i="36"/>
  <c r="L25" i="28"/>
  <c r="L26" i="28"/>
  <c r="L27" i="28"/>
  <c r="L28" i="28"/>
  <c r="L29" i="28"/>
  <c r="L24" i="29"/>
  <c r="L24" i="33"/>
  <c r="L24" i="32"/>
  <c r="L24" i="37"/>
  <c r="L24" i="34"/>
  <c r="L24" i="35"/>
  <c r="L24" i="38"/>
  <c r="L24" i="39"/>
  <c r="L24" i="36"/>
  <c r="L24" i="28"/>
  <c r="N31" i="37"/>
  <c r="T31" i="37" s="1"/>
  <c r="H24" i="29"/>
  <c r="H24" i="33"/>
  <c r="H24" i="32"/>
  <c r="H24" i="37"/>
  <c r="H24" i="34"/>
  <c r="H24" i="35"/>
  <c r="H24" i="38"/>
  <c r="H24" i="39"/>
  <c r="H24" i="36"/>
  <c r="H24" i="28"/>
  <c r="L3" i="41"/>
  <c r="K4" i="41"/>
  <c r="K3" i="41"/>
  <c r="I31" i="37"/>
  <c r="H31" i="37"/>
  <c r="M32" i="29" l="1"/>
  <c r="M33" i="29" s="1"/>
  <c r="G31" i="36"/>
  <c r="G30" i="36"/>
  <c r="F31" i="36"/>
  <c r="F30" i="36"/>
  <c r="G31" i="39"/>
  <c r="G30" i="39"/>
  <c r="F31" i="39"/>
  <c r="F30" i="39"/>
  <c r="G31" i="38"/>
  <c r="G30" i="38"/>
  <c r="F31" i="38"/>
  <c r="F30" i="38"/>
  <c r="G31" i="35"/>
  <c r="G30" i="35"/>
  <c r="F31" i="35"/>
  <c r="F30" i="35"/>
  <c r="G31" i="34"/>
  <c r="G30" i="34"/>
  <c r="F31" i="34"/>
  <c r="F30" i="34"/>
  <c r="G31" i="37"/>
  <c r="G30" i="37"/>
  <c r="F31" i="37"/>
  <c r="F30" i="37"/>
  <c r="G31" i="32"/>
  <c r="I31" i="32" s="1"/>
  <c r="G30" i="32"/>
  <c r="F31" i="32"/>
  <c r="F30" i="32"/>
  <c r="G31" i="33"/>
  <c r="I31" i="33" s="1"/>
  <c r="G30" i="33"/>
  <c r="F31" i="33"/>
  <c r="F30" i="33"/>
  <c r="G31" i="29"/>
  <c r="G30" i="29"/>
  <c r="F30" i="29"/>
  <c r="F31" i="29"/>
  <c r="F31" i="28"/>
  <c r="G31" i="28"/>
  <c r="F30" i="28"/>
  <c r="G30" i="28"/>
  <c r="B32" i="28"/>
  <c r="B33" i="28"/>
  <c r="B32" i="33"/>
  <c r="B33" i="33"/>
  <c r="B32" i="32"/>
  <c r="B33" i="32"/>
  <c r="B32" i="37"/>
  <c r="B33" i="37"/>
  <c r="B32" i="34"/>
  <c r="B33" i="34"/>
  <c r="B32" i="35"/>
  <c r="B33" i="35"/>
  <c r="B32" i="38"/>
  <c r="B33" i="38"/>
  <c r="B32" i="39"/>
  <c r="B33" i="39"/>
  <c r="B32" i="36"/>
  <c r="B33" i="36"/>
  <c r="B32" i="29"/>
  <c r="B33" i="29"/>
  <c r="P16" i="29"/>
  <c r="Q16" i="29"/>
  <c r="P17" i="29"/>
  <c r="Q17" i="29"/>
  <c r="O15" i="29"/>
  <c r="Q16" i="28"/>
  <c r="Q17" i="28"/>
  <c r="P16" i="28"/>
  <c r="P17" i="28"/>
  <c r="B16" i="29"/>
  <c r="B17" i="29"/>
  <c r="B16" i="33"/>
  <c r="B17" i="33"/>
  <c r="B16" i="32"/>
  <c r="B17" i="32"/>
  <c r="B16" i="37"/>
  <c r="B17" i="37"/>
  <c r="B16" i="34"/>
  <c r="B17" i="34"/>
  <c r="B16" i="35"/>
  <c r="B17" i="35"/>
  <c r="B16" i="38"/>
  <c r="B17" i="38"/>
  <c r="B16" i="39"/>
  <c r="B17" i="39"/>
  <c r="B16" i="36"/>
  <c r="B17" i="36"/>
  <c r="B16" i="28"/>
  <c r="B17" i="28"/>
  <c r="B12" i="29"/>
  <c r="B13" i="29"/>
  <c r="B14" i="29"/>
  <c r="B15" i="29"/>
  <c r="B12" i="33"/>
  <c r="B13" i="33"/>
  <c r="B14" i="33"/>
  <c r="B15" i="33"/>
  <c r="B12" i="32"/>
  <c r="B13" i="32"/>
  <c r="B14" i="32"/>
  <c r="B15" i="32"/>
  <c r="B12" i="37"/>
  <c r="B13" i="37"/>
  <c r="B14" i="37"/>
  <c r="B15" i="37"/>
  <c r="B12" i="34"/>
  <c r="B13" i="34"/>
  <c r="B14" i="34"/>
  <c r="B15" i="34"/>
  <c r="B12" i="35"/>
  <c r="B13" i="35"/>
  <c r="B14" i="35"/>
  <c r="B15" i="35"/>
  <c r="B12" i="38"/>
  <c r="B13" i="38"/>
  <c r="B14" i="38"/>
  <c r="B15" i="38"/>
  <c r="B12" i="39"/>
  <c r="B13" i="39"/>
  <c r="B14" i="39"/>
  <c r="B15" i="39"/>
  <c r="B12" i="36"/>
  <c r="B13" i="36"/>
  <c r="B14" i="36"/>
  <c r="B15" i="36"/>
  <c r="B12" i="28"/>
  <c r="B13" i="28"/>
  <c r="B14" i="28"/>
  <c r="B15" i="28"/>
  <c r="Q15" i="29"/>
  <c r="P15" i="28"/>
  <c r="O16" i="29"/>
  <c r="O17" i="29"/>
  <c r="O15" i="33"/>
  <c r="O16" i="33"/>
  <c r="O17" i="33"/>
  <c r="O15" i="32"/>
  <c r="O16" i="32"/>
  <c r="O17" i="32"/>
  <c r="O15" i="37"/>
  <c r="O16" i="37"/>
  <c r="O17" i="37"/>
  <c r="O15" i="34"/>
  <c r="O16" i="34"/>
  <c r="O17" i="34"/>
  <c r="O15" i="35"/>
  <c r="O16" i="35"/>
  <c r="O17" i="35"/>
  <c r="O15" i="38"/>
  <c r="O16" i="38"/>
  <c r="O17" i="38"/>
  <c r="O15" i="39"/>
  <c r="O16" i="39"/>
  <c r="O17" i="39"/>
  <c r="O15" i="36"/>
  <c r="O16" i="36"/>
  <c r="O17" i="36"/>
  <c r="O15" i="28"/>
  <c r="O16" i="28"/>
  <c r="O17" i="28"/>
  <c r="K15" i="29"/>
  <c r="K16" i="29"/>
  <c r="K17" i="29"/>
  <c r="K15" i="33"/>
  <c r="K16" i="33"/>
  <c r="K17" i="33"/>
  <c r="K15" i="32"/>
  <c r="K16" i="32"/>
  <c r="K17" i="32"/>
  <c r="K15" i="37"/>
  <c r="K16" i="37"/>
  <c r="K17" i="37"/>
  <c r="K15" i="34"/>
  <c r="K16" i="34"/>
  <c r="K17" i="34"/>
  <c r="K15" i="35"/>
  <c r="K16" i="35"/>
  <c r="K17" i="35"/>
  <c r="K15" i="38"/>
  <c r="K16" i="38"/>
  <c r="K17" i="38"/>
  <c r="K15" i="39"/>
  <c r="K16" i="39"/>
  <c r="K17" i="39"/>
  <c r="K15" i="36"/>
  <c r="K16" i="36"/>
  <c r="K17" i="36"/>
  <c r="K15" i="28"/>
  <c r="K16" i="28"/>
  <c r="K17" i="28"/>
  <c r="G15" i="29"/>
  <c r="T15" i="29" s="1"/>
  <c r="G16" i="29"/>
  <c r="G17" i="29"/>
  <c r="S17" i="29" s="1"/>
  <c r="G15" i="33"/>
  <c r="T15" i="33" s="1"/>
  <c r="G16" i="33"/>
  <c r="G17" i="33"/>
  <c r="S17" i="33" s="1"/>
  <c r="G15" i="32"/>
  <c r="S15" i="32" s="1"/>
  <c r="G16" i="32"/>
  <c r="T16" i="32" s="1"/>
  <c r="G17" i="32"/>
  <c r="S17" i="32" s="1"/>
  <c r="G15" i="37"/>
  <c r="S15" i="37" s="1"/>
  <c r="G16" i="37"/>
  <c r="T16" i="37" s="1"/>
  <c r="G17" i="37"/>
  <c r="S17" i="37" s="1"/>
  <c r="G15" i="34"/>
  <c r="S15" i="34" s="1"/>
  <c r="G16" i="34"/>
  <c r="S16" i="34" s="1"/>
  <c r="G17" i="34"/>
  <c r="T17" i="34" s="1"/>
  <c r="G15" i="35"/>
  <c r="T15" i="35" s="1"/>
  <c r="G16" i="35"/>
  <c r="G17" i="35"/>
  <c r="S17" i="35" s="1"/>
  <c r="G15" i="38"/>
  <c r="G16" i="38"/>
  <c r="T16" i="38" s="1"/>
  <c r="G17" i="38"/>
  <c r="S17" i="38" s="1"/>
  <c r="G15" i="39"/>
  <c r="S15" i="39" s="1"/>
  <c r="G16" i="39"/>
  <c r="G17" i="39"/>
  <c r="S17" i="39" s="1"/>
  <c r="G15" i="36"/>
  <c r="S15" i="36" s="1"/>
  <c r="G16" i="36"/>
  <c r="G17" i="36"/>
  <c r="S17" i="36" s="1"/>
  <c r="G15" i="28"/>
  <c r="S15" i="28" s="1"/>
  <c r="G16" i="28"/>
  <c r="G17" i="28"/>
  <c r="S17" i="28" s="1"/>
  <c r="T15" i="37"/>
  <c r="S16" i="38"/>
  <c r="T17" i="39"/>
  <c r="P16" i="33"/>
  <c r="Q16" i="33"/>
  <c r="P17" i="33"/>
  <c r="Q17" i="33"/>
  <c r="P16" i="32"/>
  <c r="Q16" i="32"/>
  <c r="P17" i="32"/>
  <c r="Q17" i="32"/>
  <c r="P16" i="37"/>
  <c r="Q16" i="37"/>
  <c r="P17" i="37"/>
  <c r="Q17" i="37"/>
  <c r="P16" i="34"/>
  <c r="Q16" i="34"/>
  <c r="P17" i="34"/>
  <c r="Q17" i="34"/>
  <c r="P16" i="35"/>
  <c r="Q16" i="35"/>
  <c r="P17" i="35"/>
  <c r="Q17" i="35"/>
  <c r="P16" i="38"/>
  <c r="Q16" i="38"/>
  <c r="P17" i="38"/>
  <c r="Q17" i="38"/>
  <c r="P16" i="39"/>
  <c r="Q16" i="39"/>
  <c r="P17" i="39"/>
  <c r="Q17" i="39"/>
  <c r="P16" i="36"/>
  <c r="Q16" i="36"/>
  <c r="P17" i="36"/>
  <c r="Q17" i="36"/>
  <c r="I31" i="29"/>
  <c r="H33" i="29"/>
  <c r="I33" i="29"/>
  <c r="H31" i="33"/>
  <c r="H32" i="33"/>
  <c r="L32" i="33" s="1"/>
  <c r="I32" i="33"/>
  <c r="M32" i="33" s="1"/>
  <c r="H33" i="33"/>
  <c r="I33" i="33"/>
  <c r="H31" i="32"/>
  <c r="H32" i="32"/>
  <c r="L32" i="32" s="1"/>
  <c r="I32" i="32"/>
  <c r="M32" i="32" s="1"/>
  <c r="H33" i="32"/>
  <c r="I33" i="32"/>
  <c r="H32" i="37"/>
  <c r="L32" i="37" s="1"/>
  <c r="I32" i="37"/>
  <c r="M32" i="37" s="1"/>
  <c r="H33" i="37"/>
  <c r="I33" i="37"/>
  <c r="H31" i="34"/>
  <c r="I31" i="34"/>
  <c r="H32" i="34"/>
  <c r="L32" i="34" s="1"/>
  <c r="I32" i="34"/>
  <c r="M32" i="34" s="1"/>
  <c r="H33" i="34"/>
  <c r="I33" i="34"/>
  <c r="H31" i="35"/>
  <c r="I31" i="35"/>
  <c r="H32" i="35"/>
  <c r="L32" i="35" s="1"/>
  <c r="I32" i="35"/>
  <c r="M32" i="35" s="1"/>
  <c r="H33" i="35"/>
  <c r="I33" i="35"/>
  <c r="H31" i="38"/>
  <c r="I31" i="38"/>
  <c r="H32" i="38"/>
  <c r="L32" i="38" s="1"/>
  <c r="I32" i="38"/>
  <c r="M32" i="38" s="1"/>
  <c r="H33" i="38"/>
  <c r="I33" i="38"/>
  <c r="H31" i="39"/>
  <c r="I31" i="39"/>
  <c r="H32" i="39"/>
  <c r="L32" i="39" s="1"/>
  <c r="I32" i="39"/>
  <c r="M32" i="39" s="1"/>
  <c r="H33" i="39"/>
  <c r="I33" i="39"/>
  <c r="H31" i="36"/>
  <c r="I31" i="36"/>
  <c r="H32" i="36"/>
  <c r="L32" i="36" s="1"/>
  <c r="I32" i="36"/>
  <c r="M32" i="36" s="1"/>
  <c r="H33" i="36"/>
  <c r="I33" i="36"/>
  <c r="H31" i="28"/>
  <c r="I31" i="28"/>
  <c r="H32" i="28"/>
  <c r="L32" i="28" s="1"/>
  <c r="L33" i="28" s="1"/>
  <c r="I32" i="28"/>
  <c r="M32" i="28" s="1"/>
  <c r="M33" i="28" s="1"/>
  <c r="H33" i="28"/>
  <c r="I33" i="28"/>
  <c r="E31" i="29"/>
  <c r="E32" i="29"/>
  <c r="E33" i="29"/>
  <c r="E31" i="33"/>
  <c r="E32" i="33"/>
  <c r="E33" i="33"/>
  <c r="E31" i="32"/>
  <c r="E32" i="32"/>
  <c r="E33" i="32"/>
  <c r="E31" i="37"/>
  <c r="E32" i="37"/>
  <c r="E33" i="37"/>
  <c r="E31" i="34"/>
  <c r="E32" i="34"/>
  <c r="E33" i="34"/>
  <c r="E31" i="35"/>
  <c r="E32" i="35"/>
  <c r="E33" i="35"/>
  <c r="E31" i="38"/>
  <c r="E32" i="38"/>
  <c r="E33" i="38"/>
  <c r="E31" i="39"/>
  <c r="E32" i="39"/>
  <c r="E33" i="39"/>
  <c r="E31" i="36"/>
  <c r="E32" i="36"/>
  <c r="E33" i="36"/>
  <c r="E31" i="28"/>
  <c r="E32" i="28"/>
  <c r="E33" i="28"/>
  <c r="C31" i="29"/>
  <c r="C32" i="29"/>
  <c r="C33" i="29"/>
  <c r="C31" i="33"/>
  <c r="C32" i="33"/>
  <c r="C33" i="33"/>
  <c r="C31" i="32"/>
  <c r="C32" i="32"/>
  <c r="C33" i="32"/>
  <c r="C31" i="37"/>
  <c r="C32" i="37"/>
  <c r="C33" i="37"/>
  <c r="C31" i="34"/>
  <c r="C32" i="34"/>
  <c r="C33" i="34"/>
  <c r="C31" i="35"/>
  <c r="C32" i="35"/>
  <c r="C33" i="35"/>
  <c r="C31" i="38"/>
  <c r="C32" i="38"/>
  <c r="C33" i="38"/>
  <c r="C31" i="39"/>
  <c r="C32" i="39"/>
  <c r="C33" i="39"/>
  <c r="C31" i="36"/>
  <c r="C32" i="36"/>
  <c r="C33" i="36"/>
  <c r="C31" i="28"/>
  <c r="C32" i="28"/>
  <c r="C33" i="28"/>
  <c r="F9" i="32"/>
  <c r="G9" i="32" s="1"/>
  <c r="T9" i="32" s="1"/>
  <c r="C19" i="41"/>
  <c r="G4" i="41"/>
  <c r="H4" i="41"/>
  <c r="H3" i="41"/>
  <c r="G3" i="41"/>
  <c r="I3" i="41" s="1"/>
  <c r="O8" i="29"/>
  <c r="O9" i="29"/>
  <c r="O10" i="29"/>
  <c r="O11" i="29"/>
  <c r="O12" i="29"/>
  <c r="O13" i="29"/>
  <c r="O14" i="29"/>
  <c r="O8" i="32"/>
  <c r="O9" i="32"/>
  <c r="O10" i="32"/>
  <c r="O11" i="32"/>
  <c r="O12" i="32"/>
  <c r="O13" i="32"/>
  <c r="O14" i="32"/>
  <c r="O8" i="33"/>
  <c r="O9" i="33"/>
  <c r="O10" i="33"/>
  <c r="O11" i="33"/>
  <c r="O12" i="33"/>
  <c r="O13" i="33"/>
  <c r="O14" i="33"/>
  <c r="O8" i="35"/>
  <c r="O9" i="35"/>
  <c r="O10" i="35"/>
  <c r="O11" i="35"/>
  <c r="O12" i="35"/>
  <c r="O13" i="35"/>
  <c r="O14" i="35"/>
  <c r="O8" i="34"/>
  <c r="O9" i="34"/>
  <c r="O10" i="34"/>
  <c r="O11" i="34"/>
  <c r="O12" i="34"/>
  <c r="O13" i="34"/>
  <c r="O14" i="34"/>
  <c r="O8" i="38"/>
  <c r="O9" i="38"/>
  <c r="O10" i="38"/>
  <c r="O11" i="38"/>
  <c r="O12" i="38"/>
  <c r="O13" i="38"/>
  <c r="O14" i="38"/>
  <c r="O8" i="39"/>
  <c r="O9" i="39"/>
  <c r="O10" i="39"/>
  <c r="O11" i="39"/>
  <c r="O12" i="39"/>
  <c r="O13" i="39"/>
  <c r="O14" i="39"/>
  <c r="O8" i="36"/>
  <c r="O9" i="36"/>
  <c r="O10" i="36"/>
  <c r="O11" i="36"/>
  <c r="O12" i="36"/>
  <c r="O13" i="36"/>
  <c r="O14" i="36"/>
  <c r="O8" i="37"/>
  <c r="O9" i="37"/>
  <c r="O10" i="37"/>
  <c r="O11" i="37"/>
  <c r="O12" i="37"/>
  <c r="O13" i="37"/>
  <c r="O14" i="37"/>
  <c r="O8" i="28"/>
  <c r="O9" i="28"/>
  <c r="O10" i="28"/>
  <c r="O11" i="28"/>
  <c r="O12" i="28"/>
  <c r="O13" i="28"/>
  <c r="O14" i="28"/>
  <c r="O7" i="29"/>
  <c r="O7" i="32"/>
  <c r="O7" i="33"/>
  <c r="O7" i="35"/>
  <c r="O7" i="34"/>
  <c r="O7" i="38"/>
  <c r="O7" i="39"/>
  <c r="O7" i="36"/>
  <c r="O7" i="37"/>
  <c r="O7" i="28"/>
  <c r="K8" i="29"/>
  <c r="K9" i="29"/>
  <c r="K10" i="29"/>
  <c r="K11" i="29"/>
  <c r="K12" i="29"/>
  <c r="K13" i="29"/>
  <c r="K14" i="29"/>
  <c r="K8" i="32"/>
  <c r="K9" i="32"/>
  <c r="K10" i="32"/>
  <c r="K11" i="32"/>
  <c r="K12" i="32"/>
  <c r="K13" i="32"/>
  <c r="K14" i="32"/>
  <c r="K8" i="33"/>
  <c r="K9" i="33"/>
  <c r="K10" i="33"/>
  <c r="K11" i="33"/>
  <c r="K12" i="33"/>
  <c r="K13" i="33"/>
  <c r="K14" i="33"/>
  <c r="K8" i="35"/>
  <c r="K9" i="35"/>
  <c r="K10" i="35"/>
  <c r="K11" i="35"/>
  <c r="K12" i="35"/>
  <c r="K13" i="35"/>
  <c r="K14" i="35"/>
  <c r="K8" i="34"/>
  <c r="K9" i="34"/>
  <c r="K10" i="34"/>
  <c r="K11" i="34"/>
  <c r="K12" i="34"/>
  <c r="K13" i="34"/>
  <c r="K14" i="34"/>
  <c r="K8" i="38"/>
  <c r="K9" i="38"/>
  <c r="K10" i="38"/>
  <c r="K11" i="38"/>
  <c r="K12" i="38"/>
  <c r="K13" i="38"/>
  <c r="K14" i="38"/>
  <c r="K8" i="39"/>
  <c r="K9" i="39"/>
  <c r="K10" i="39"/>
  <c r="K11" i="39"/>
  <c r="K12" i="39"/>
  <c r="K13" i="39"/>
  <c r="K14" i="39"/>
  <c r="K8" i="36"/>
  <c r="K9" i="36"/>
  <c r="K10" i="36"/>
  <c r="K11" i="36"/>
  <c r="K12" i="36"/>
  <c r="K13" i="36"/>
  <c r="K14" i="36"/>
  <c r="K8" i="37"/>
  <c r="K9" i="37"/>
  <c r="K10" i="37"/>
  <c r="K11" i="37"/>
  <c r="K12" i="37"/>
  <c r="K13" i="37"/>
  <c r="K14" i="37"/>
  <c r="K8" i="28"/>
  <c r="K9" i="28"/>
  <c r="K10" i="28"/>
  <c r="K11" i="28"/>
  <c r="K12" i="28"/>
  <c r="K13" i="28"/>
  <c r="K14" i="28"/>
  <c r="K7" i="29"/>
  <c r="K7" i="32"/>
  <c r="K7" i="33"/>
  <c r="K7" i="35"/>
  <c r="K7" i="34"/>
  <c r="K7" i="38"/>
  <c r="K7" i="39"/>
  <c r="K7" i="36"/>
  <c r="K7" i="37"/>
  <c r="K7" i="28"/>
  <c r="G8" i="29"/>
  <c r="T8" i="29" s="1"/>
  <c r="G9" i="29"/>
  <c r="T9" i="29" s="1"/>
  <c r="G10" i="29"/>
  <c r="T10" i="29" s="1"/>
  <c r="G11" i="29"/>
  <c r="T11" i="29" s="1"/>
  <c r="G12" i="29"/>
  <c r="T12" i="29" s="1"/>
  <c r="G13" i="29"/>
  <c r="T13" i="29" s="1"/>
  <c r="G14" i="29"/>
  <c r="T14" i="29" s="1"/>
  <c r="G8" i="32"/>
  <c r="T8" i="32" s="1"/>
  <c r="G10" i="32"/>
  <c r="G11" i="32"/>
  <c r="G12" i="32"/>
  <c r="G13" i="32"/>
  <c r="G14" i="32"/>
  <c r="G8" i="33"/>
  <c r="G9" i="33"/>
  <c r="G10" i="33"/>
  <c r="G11" i="33"/>
  <c r="G12" i="33"/>
  <c r="G13" i="33"/>
  <c r="G14" i="33"/>
  <c r="G8" i="35"/>
  <c r="G9" i="35"/>
  <c r="G10" i="35"/>
  <c r="G11" i="35"/>
  <c r="G12" i="35"/>
  <c r="G13" i="35"/>
  <c r="G14" i="35"/>
  <c r="G8" i="34"/>
  <c r="G9" i="34"/>
  <c r="G10" i="34"/>
  <c r="G11" i="34"/>
  <c r="G12" i="34"/>
  <c r="G13" i="34"/>
  <c r="G14" i="34"/>
  <c r="G8" i="38"/>
  <c r="G9" i="38"/>
  <c r="G10" i="38"/>
  <c r="G11" i="38"/>
  <c r="G12" i="38"/>
  <c r="G13" i="38"/>
  <c r="G14" i="38"/>
  <c r="G8" i="39"/>
  <c r="G9" i="39"/>
  <c r="G10" i="39"/>
  <c r="G11" i="39"/>
  <c r="G12" i="39"/>
  <c r="G13" i="39"/>
  <c r="G14" i="39"/>
  <c r="G8" i="36"/>
  <c r="G9" i="36"/>
  <c r="G10" i="36"/>
  <c r="G11" i="36"/>
  <c r="G12" i="36"/>
  <c r="G13" i="36"/>
  <c r="G14" i="36"/>
  <c r="G8" i="37"/>
  <c r="G9" i="37"/>
  <c r="G10" i="37"/>
  <c r="G11" i="37"/>
  <c r="G12" i="37"/>
  <c r="G13" i="37"/>
  <c r="G14" i="37"/>
  <c r="G8" i="28"/>
  <c r="G9" i="28"/>
  <c r="G10" i="28"/>
  <c r="G11" i="28"/>
  <c r="G12" i="28"/>
  <c r="G13" i="28"/>
  <c r="G14" i="28"/>
  <c r="G7" i="29"/>
  <c r="G7" i="32"/>
  <c r="G7" i="33"/>
  <c r="G7" i="35"/>
  <c r="G7" i="34"/>
  <c r="G7" i="38"/>
  <c r="G7" i="39"/>
  <c r="G7" i="36"/>
  <c r="G7" i="37"/>
  <c r="G7" i="28"/>
  <c r="H30" i="29"/>
  <c r="R30" i="29" s="1"/>
  <c r="I30" i="29"/>
  <c r="H30" i="32"/>
  <c r="I30" i="32"/>
  <c r="H30" i="33"/>
  <c r="R30" i="33" s="1"/>
  <c r="I30" i="33"/>
  <c r="S30" i="33" s="1"/>
  <c r="H30" i="35"/>
  <c r="I30" i="35"/>
  <c r="S30" i="35" s="1"/>
  <c r="H29" i="34"/>
  <c r="R29" i="34" s="1"/>
  <c r="I29" i="34"/>
  <c r="S29" i="34" s="1"/>
  <c r="H30" i="34"/>
  <c r="I30" i="34"/>
  <c r="H30" i="38"/>
  <c r="R30" i="38" s="1"/>
  <c r="I30" i="38"/>
  <c r="S30" i="38" s="1"/>
  <c r="H30" i="39"/>
  <c r="I30" i="39"/>
  <c r="S30" i="39" s="1"/>
  <c r="H30" i="36"/>
  <c r="I30" i="36"/>
  <c r="S30" i="36" s="1"/>
  <c r="H30" i="37"/>
  <c r="R30" i="37" s="1"/>
  <c r="I30" i="37"/>
  <c r="S30" i="37" s="1"/>
  <c r="B5" i="41"/>
  <c r="B6" i="41"/>
  <c r="K6" i="41" s="1"/>
  <c r="B7" i="41"/>
  <c r="B8" i="41"/>
  <c r="B9" i="41"/>
  <c r="B10" i="41"/>
  <c r="K10" i="41" s="1"/>
  <c r="B11" i="41"/>
  <c r="B12" i="41"/>
  <c r="C5" i="41"/>
  <c r="C6" i="41"/>
  <c r="L6" i="41" s="1"/>
  <c r="C7" i="41"/>
  <c r="C8" i="41"/>
  <c r="C9" i="41"/>
  <c r="C10" i="41"/>
  <c r="L10" i="41" s="1"/>
  <c r="C11" i="41"/>
  <c r="C12" i="41"/>
  <c r="H10" i="41" l="1"/>
  <c r="G6" i="41"/>
  <c r="O31" i="33" s="1"/>
  <c r="G9" i="41"/>
  <c r="O30" i="38" s="1"/>
  <c r="K9" i="41"/>
  <c r="H7" i="41"/>
  <c r="P30" i="35" s="1"/>
  <c r="L7" i="41"/>
  <c r="I4" i="41"/>
  <c r="H5" i="41"/>
  <c r="P30" i="32" s="1"/>
  <c r="L5" i="41"/>
  <c r="G11" i="41"/>
  <c r="O31" i="36" s="1"/>
  <c r="K11" i="41"/>
  <c r="G8" i="41"/>
  <c r="O30" i="34" s="1"/>
  <c r="K8" i="41"/>
  <c r="G7" i="41"/>
  <c r="O30" i="35" s="1"/>
  <c r="K7" i="41"/>
  <c r="G10" i="41"/>
  <c r="O33" i="39" s="1"/>
  <c r="H12" i="41"/>
  <c r="P30" i="37" s="1"/>
  <c r="L12" i="41"/>
  <c r="H11" i="41"/>
  <c r="P30" i="36" s="1"/>
  <c r="L11" i="41"/>
  <c r="H9" i="41"/>
  <c r="L9" i="41"/>
  <c r="G5" i="41"/>
  <c r="O32" i="32" s="1"/>
  <c r="K5" i="41"/>
  <c r="H6" i="41"/>
  <c r="P30" i="33" s="1"/>
  <c r="G12" i="41"/>
  <c r="O33" i="37" s="1"/>
  <c r="K12" i="41"/>
  <c r="J31" i="37" s="1"/>
  <c r="H8" i="41"/>
  <c r="P29" i="34" s="1"/>
  <c r="L8" i="41"/>
  <c r="S16" i="36"/>
  <c r="S16" i="39"/>
  <c r="T16" i="35"/>
  <c r="T16" i="33"/>
  <c r="S16" i="33"/>
  <c r="S16" i="29"/>
  <c r="S16" i="28"/>
  <c r="P26" i="33"/>
  <c r="S31" i="35"/>
  <c r="S32" i="32"/>
  <c r="S16" i="37"/>
  <c r="S16" i="32"/>
  <c r="P15" i="37"/>
  <c r="S16" i="35"/>
  <c r="T17" i="32"/>
  <c r="T17" i="37"/>
  <c r="Q15" i="38"/>
  <c r="Q15" i="33"/>
  <c r="Q15" i="36"/>
  <c r="S17" i="34"/>
  <c r="T7" i="36"/>
  <c r="T7" i="35"/>
  <c r="T10" i="36"/>
  <c r="T13" i="39"/>
  <c r="T9" i="39"/>
  <c r="T10" i="35"/>
  <c r="T9" i="33"/>
  <c r="P15" i="36"/>
  <c r="P15" i="32"/>
  <c r="P32" i="29"/>
  <c r="S32" i="29"/>
  <c r="T17" i="36"/>
  <c r="T7" i="37"/>
  <c r="T7" i="34"/>
  <c r="T9" i="28"/>
  <c r="T10" i="39"/>
  <c r="T9" i="38"/>
  <c r="T10" i="33"/>
  <c r="T13" i="32"/>
  <c r="S33" i="28"/>
  <c r="R31" i="28"/>
  <c r="S33" i="39"/>
  <c r="R32" i="38"/>
  <c r="S33" i="35"/>
  <c r="R32" i="35"/>
  <c r="S33" i="37"/>
  <c r="P31" i="29"/>
  <c r="T16" i="39"/>
  <c r="P15" i="29"/>
  <c r="R33" i="28"/>
  <c r="T16" i="36"/>
  <c r="Q15" i="35"/>
  <c r="T15" i="28"/>
  <c r="T17" i="29"/>
  <c r="S31" i="38"/>
  <c r="T9" i="36"/>
  <c r="T10" i="34"/>
  <c r="S33" i="36"/>
  <c r="R33" i="36"/>
  <c r="S33" i="34"/>
  <c r="R33" i="34"/>
  <c r="T15" i="39"/>
  <c r="T15" i="36"/>
  <c r="P15" i="34"/>
  <c r="Q15" i="37"/>
  <c r="T17" i="28"/>
  <c r="T10" i="37"/>
  <c r="T9" i="35"/>
  <c r="T14" i="28"/>
  <c r="T10" i="28"/>
  <c r="T9" i="37"/>
  <c r="T14" i="38"/>
  <c r="T10" i="38"/>
  <c r="T9" i="34"/>
  <c r="T10" i="32"/>
  <c r="R32" i="39"/>
  <c r="N32" i="35"/>
  <c r="R31" i="34"/>
  <c r="T17" i="38"/>
  <c r="T17" i="35"/>
  <c r="T17" i="33"/>
  <c r="Q15" i="32"/>
  <c r="P15" i="38"/>
  <c r="Q15" i="28"/>
  <c r="T16" i="28"/>
  <c r="S15" i="29"/>
  <c r="T16" i="29"/>
  <c r="N32" i="34"/>
  <c r="T16" i="34"/>
  <c r="S15" i="38"/>
  <c r="Q15" i="39"/>
  <c r="P15" i="39"/>
  <c r="N31" i="38"/>
  <c r="T15" i="38"/>
  <c r="P15" i="35"/>
  <c r="S15" i="35"/>
  <c r="Q15" i="34"/>
  <c r="T15" i="34"/>
  <c r="R31" i="36"/>
  <c r="S31" i="36"/>
  <c r="T15" i="32"/>
  <c r="R31" i="32"/>
  <c r="P15" i="33"/>
  <c r="S15" i="33"/>
  <c r="S31" i="29"/>
  <c r="R31" i="29"/>
  <c r="R33" i="35"/>
  <c r="S33" i="32"/>
  <c r="O33" i="28"/>
  <c r="R31" i="38"/>
  <c r="R32" i="37"/>
  <c r="P33" i="29"/>
  <c r="S33" i="29"/>
  <c r="T7" i="39"/>
  <c r="T7" i="33"/>
  <c r="T7" i="29"/>
  <c r="T12" i="28"/>
  <c r="T8" i="28"/>
  <c r="T12" i="37"/>
  <c r="T8" i="37"/>
  <c r="T12" i="36"/>
  <c r="T8" i="36"/>
  <c r="T12" i="39"/>
  <c r="T8" i="39"/>
  <c r="T12" i="38"/>
  <c r="T8" i="38"/>
  <c r="T12" i="34"/>
  <c r="T8" i="34"/>
  <c r="T12" i="35"/>
  <c r="T8" i="35"/>
  <c r="T12" i="33"/>
  <c r="T8" i="33"/>
  <c r="T12" i="32"/>
  <c r="S30" i="29"/>
  <c r="P30" i="29"/>
  <c r="S7" i="28"/>
  <c r="S7" i="38"/>
  <c r="T7" i="32"/>
  <c r="S11" i="28"/>
  <c r="T11" i="37"/>
  <c r="T11" i="36"/>
  <c r="T11" i="39"/>
  <c r="T11" i="38"/>
  <c r="T11" i="34"/>
  <c r="T11" i="35"/>
  <c r="T11" i="33"/>
  <c r="T11" i="32"/>
  <c r="T14" i="37"/>
  <c r="R30" i="36"/>
  <c r="O30" i="36"/>
  <c r="T14" i="36"/>
  <c r="P30" i="39"/>
  <c r="T14" i="39"/>
  <c r="T14" i="35"/>
  <c r="S30" i="34"/>
  <c r="T14" i="34"/>
  <c r="T14" i="32"/>
  <c r="T14" i="33"/>
  <c r="O30" i="29"/>
  <c r="T13" i="36"/>
  <c r="T13" i="38"/>
  <c r="T13" i="35"/>
  <c r="T13" i="34"/>
  <c r="T13" i="37"/>
  <c r="T13" i="33"/>
  <c r="T13" i="28"/>
  <c r="R30" i="32"/>
  <c r="S8" i="34"/>
  <c r="S8" i="38"/>
  <c r="S8" i="28"/>
  <c r="S8" i="32"/>
  <c r="S8" i="39"/>
  <c r="S8" i="29"/>
  <c r="S8" i="33"/>
  <c r="S8" i="36"/>
  <c r="S8" i="35"/>
  <c r="S8" i="37"/>
  <c r="N30" i="35"/>
  <c r="S7" i="32"/>
  <c r="S11" i="33"/>
  <c r="S11" i="37"/>
  <c r="S11" i="39"/>
  <c r="S11" i="29"/>
  <c r="S11" i="34"/>
  <c r="T7" i="28"/>
  <c r="T11" i="28"/>
  <c r="S11" i="36"/>
  <c r="S11" i="38"/>
  <c r="S11" i="35"/>
  <c r="S11" i="32"/>
  <c r="T7" i="38"/>
  <c r="S7" i="37"/>
  <c r="S7" i="34"/>
  <c r="S14" i="28"/>
  <c r="S10" i="28"/>
  <c r="S14" i="37"/>
  <c r="S10" i="37"/>
  <c r="S14" i="36"/>
  <c r="S10" i="36"/>
  <c r="S14" i="39"/>
  <c r="S10" i="39"/>
  <c r="S14" i="38"/>
  <c r="S10" i="38"/>
  <c r="S14" i="34"/>
  <c r="S10" i="34"/>
  <c r="S14" i="35"/>
  <c r="S10" i="35"/>
  <c r="S14" i="33"/>
  <c r="S10" i="33"/>
  <c r="S14" i="32"/>
  <c r="S10" i="32"/>
  <c r="S14" i="29"/>
  <c r="S10" i="29"/>
  <c r="S7" i="36"/>
  <c r="S7" i="35"/>
  <c r="S13" i="28"/>
  <c r="S9" i="28"/>
  <c r="S13" i="37"/>
  <c r="S9" i="37"/>
  <c r="S13" i="36"/>
  <c r="S9" i="36"/>
  <c r="S13" i="39"/>
  <c r="S9" i="39"/>
  <c r="S13" i="38"/>
  <c r="S9" i="38"/>
  <c r="S13" i="34"/>
  <c r="S9" i="34"/>
  <c r="S13" i="35"/>
  <c r="S9" i="35"/>
  <c r="S13" i="33"/>
  <c r="S9" i="33"/>
  <c r="S13" i="32"/>
  <c r="S13" i="29"/>
  <c r="S9" i="29"/>
  <c r="S7" i="39"/>
  <c r="S7" i="33"/>
  <c r="S7" i="29"/>
  <c r="S12" i="28"/>
  <c r="S12" i="37"/>
  <c r="S12" i="36"/>
  <c r="S12" i="39"/>
  <c r="S12" i="38"/>
  <c r="S12" i="34"/>
  <c r="S12" i="35"/>
  <c r="S12" i="33"/>
  <c r="S12" i="32"/>
  <c r="S12" i="29"/>
  <c r="N30" i="34"/>
  <c r="N30" i="36"/>
  <c r="S30" i="32"/>
  <c r="N30" i="32"/>
  <c r="N30" i="37"/>
  <c r="R30" i="35"/>
  <c r="N30" i="39"/>
  <c r="N30" i="33"/>
  <c r="R30" i="39"/>
  <c r="N30" i="38"/>
  <c r="R30" i="34"/>
  <c r="N30" i="29"/>
  <c r="N29" i="34"/>
  <c r="C29" i="29"/>
  <c r="C30" i="29"/>
  <c r="C29" i="32"/>
  <c r="C30" i="32"/>
  <c r="C29" i="33"/>
  <c r="C30" i="33"/>
  <c r="C29" i="35"/>
  <c r="C30" i="35"/>
  <c r="C29" i="34"/>
  <c r="C30" i="34"/>
  <c r="C29" i="38"/>
  <c r="C30" i="38"/>
  <c r="C29" i="39"/>
  <c r="C30" i="39"/>
  <c r="C29" i="36"/>
  <c r="C30" i="36"/>
  <c r="C29" i="37"/>
  <c r="C30" i="37"/>
  <c r="C29" i="28"/>
  <c r="C30" i="28"/>
  <c r="E29" i="29"/>
  <c r="E30" i="29"/>
  <c r="E29" i="32"/>
  <c r="E30" i="32"/>
  <c r="E29" i="33"/>
  <c r="E30" i="33"/>
  <c r="E29" i="35"/>
  <c r="E30" i="35"/>
  <c r="E29" i="34"/>
  <c r="E30" i="34"/>
  <c r="E29" i="38"/>
  <c r="E30" i="38"/>
  <c r="E29" i="39"/>
  <c r="E30" i="39"/>
  <c r="E29" i="36"/>
  <c r="E30" i="36"/>
  <c r="E29" i="37"/>
  <c r="E30" i="37"/>
  <c r="E29" i="28"/>
  <c r="E30" i="28"/>
  <c r="H30" i="28" s="1"/>
  <c r="Q14" i="32"/>
  <c r="Q14" i="39"/>
  <c r="Q14" i="36"/>
  <c r="P33" i="32" l="1"/>
  <c r="P33" i="36"/>
  <c r="O31" i="38"/>
  <c r="O30" i="33"/>
  <c r="O30" i="39"/>
  <c r="P30" i="34"/>
  <c r="P33" i="34"/>
  <c r="P31" i="35"/>
  <c r="O30" i="37"/>
  <c r="P33" i="35"/>
  <c r="I10" i="41"/>
  <c r="Q30" i="39" s="1"/>
  <c r="I6" i="41"/>
  <c r="Q30" i="33" s="1"/>
  <c r="I9" i="41"/>
  <c r="Q31" i="38" s="1"/>
  <c r="O33" i="35"/>
  <c r="O32" i="35"/>
  <c r="O30" i="32"/>
  <c r="P31" i="38"/>
  <c r="O31" i="34"/>
  <c r="O33" i="32"/>
  <c r="O29" i="34"/>
  <c r="I11" i="41"/>
  <c r="Q30" i="36" s="1"/>
  <c r="I12" i="41"/>
  <c r="Q30" i="37" s="1"/>
  <c r="I5" i="41"/>
  <c r="Q30" i="32" s="1"/>
  <c r="P30" i="38"/>
  <c r="P31" i="32"/>
  <c r="I8" i="41"/>
  <c r="Q29" i="34" s="1"/>
  <c r="I7" i="41"/>
  <c r="Q30" i="35" s="1"/>
  <c r="N31" i="35"/>
  <c r="O30" i="28"/>
  <c r="R30" i="28"/>
  <c r="I30" i="28"/>
  <c r="O31" i="28"/>
  <c r="P32" i="32"/>
  <c r="N33" i="35"/>
  <c r="N33" i="32"/>
  <c r="Q33" i="32" s="1"/>
  <c r="P31" i="36"/>
  <c r="R33" i="32"/>
  <c r="O32" i="38"/>
  <c r="S31" i="33"/>
  <c r="P31" i="33"/>
  <c r="N33" i="39"/>
  <c r="R33" i="39"/>
  <c r="O32" i="33"/>
  <c r="R32" i="33"/>
  <c r="S31" i="28"/>
  <c r="P31" i="28"/>
  <c r="R32" i="34"/>
  <c r="P32" i="35"/>
  <c r="S31" i="32"/>
  <c r="P33" i="28"/>
  <c r="N32" i="38"/>
  <c r="P33" i="37"/>
  <c r="N33" i="37"/>
  <c r="R33" i="37"/>
  <c r="N32" i="32"/>
  <c r="R32" i="32"/>
  <c r="N32" i="29"/>
  <c r="O32" i="29"/>
  <c r="R32" i="29"/>
  <c r="S32" i="38"/>
  <c r="P32" i="38"/>
  <c r="O32" i="34"/>
  <c r="N33" i="28"/>
  <c r="Q33" i="28" s="1"/>
  <c r="T31" i="38"/>
  <c r="S32" i="35"/>
  <c r="N31" i="28"/>
  <c r="P33" i="39"/>
  <c r="S32" i="36"/>
  <c r="P32" i="36"/>
  <c r="P32" i="39"/>
  <c r="S32" i="39"/>
  <c r="N31" i="36"/>
  <c r="T31" i="36" s="1"/>
  <c r="N31" i="33"/>
  <c r="R31" i="33"/>
  <c r="S32" i="34"/>
  <c r="P32" i="34"/>
  <c r="O33" i="38"/>
  <c r="R33" i="38"/>
  <c r="N33" i="34"/>
  <c r="O33" i="34"/>
  <c r="S33" i="33"/>
  <c r="P33" i="33"/>
  <c r="N32" i="37"/>
  <c r="O32" i="37"/>
  <c r="O31" i="35"/>
  <c r="R31" i="35"/>
  <c r="N32" i="39"/>
  <c r="O32" i="39"/>
  <c r="R32" i="28"/>
  <c r="O32" i="28"/>
  <c r="N33" i="36"/>
  <c r="O33" i="36"/>
  <c r="O33" i="29"/>
  <c r="R33" i="29"/>
  <c r="P32" i="37"/>
  <c r="S32" i="37"/>
  <c r="N33" i="29"/>
  <c r="S31" i="39"/>
  <c r="P31" i="39"/>
  <c r="S31" i="37"/>
  <c r="P31" i="37"/>
  <c r="N31" i="32"/>
  <c r="O31" i="32"/>
  <c r="N31" i="29"/>
  <c r="O31" i="29"/>
  <c r="N31" i="34"/>
  <c r="S31" i="34"/>
  <c r="P31" i="34"/>
  <c r="N32" i="33"/>
  <c r="S32" i="33"/>
  <c r="P32" i="33"/>
  <c r="N33" i="38"/>
  <c r="S33" i="38"/>
  <c r="P33" i="38"/>
  <c r="T32" i="34"/>
  <c r="N32" i="28"/>
  <c r="S32" i="28"/>
  <c r="P32" i="28"/>
  <c r="T32" i="35"/>
  <c r="N31" i="39"/>
  <c r="R31" i="39"/>
  <c r="O31" i="39"/>
  <c r="T33" i="32"/>
  <c r="N33" i="33"/>
  <c r="R33" i="33"/>
  <c r="O33" i="33"/>
  <c r="R31" i="37"/>
  <c r="O31" i="37"/>
  <c r="N32" i="36"/>
  <c r="R32" i="36"/>
  <c r="O32" i="36"/>
  <c r="P14" i="37"/>
  <c r="Q14" i="34"/>
  <c r="P14" i="35"/>
  <c r="I29" i="37"/>
  <c r="H29" i="37"/>
  <c r="H29" i="28"/>
  <c r="I29" i="28"/>
  <c r="I29" i="32"/>
  <c r="H29" i="32"/>
  <c r="Q14" i="33"/>
  <c r="I29" i="39"/>
  <c r="H29" i="39"/>
  <c r="I29" i="33"/>
  <c r="H29" i="33"/>
  <c r="I29" i="29"/>
  <c r="H29" i="29"/>
  <c r="R29" i="29" s="1"/>
  <c r="Q14" i="38"/>
  <c r="I29" i="38"/>
  <c r="H29" i="38"/>
  <c r="P14" i="36"/>
  <c r="P14" i="34"/>
  <c r="P14" i="33"/>
  <c r="I29" i="36"/>
  <c r="H29" i="36"/>
  <c r="I29" i="35"/>
  <c r="H29" i="35"/>
  <c r="T30" i="37"/>
  <c r="Q14" i="37"/>
  <c r="T30" i="36"/>
  <c r="T30" i="39"/>
  <c r="P14" i="39"/>
  <c r="T30" i="38"/>
  <c r="P14" i="38"/>
  <c r="T30" i="35"/>
  <c r="Q14" i="35"/>
  <c r="T30" i="34"/>
  <c r="P14" i="32"/>
  <c r="T30" i="33"/>
  <c r="T30" i="29"/>
  <c r="Q30" i="29"/>
  <c r="P14" i="29"/>
  <c r="Q14" i="29"/>
  <c r="P14" i="28"/>
  <c r="Q14" i="28"/>
  <c r="T29" i="34"/>
  <c r="T30" i="32"/>
  <c r="Q30" i="38" l="1"/>
  <c r="Q32" i="35"/>
  <c r="Q33" i="35"/>
  <c r="Q30" i="34"/>
  <c r="Q32" i="34"/>
  <c r="Q31" i="35"/>
  <c r="T31" i="29"/>
  <c r="Q31" i="29"/>
  <c r="T33" i="35"/>
  <c r="T31" i="35"/>
  <c r="W30" i="37"/>
  <c r="P30" i="28"/>
  <c r="S30" i="28"/>
  <c r="N30" i="28"/>
  <c r="T33" i="28"/>
  <c r="T33" i="37"/>
  <c r="Q33" i="37"/>
  <c r="T32" i="29"/>
  <c r="Q32" i="29"/>
  <c r="T33" i="39"/>
  <c r="Q33" i="39"/>
  <c r="Q32" i="32"/>
  <c r="T32" i="32"/>
  <c r="T32" i="38"/>
  <c r="Q32" i="38"/>
  <c r="Q31" i="28"/>
  <c r="T31" i="28"/>
  <c r="Q31" i="36"/>
  <c r="T33" i="29"/>
  <c r="Q33" i="29"/>
  <c r="T31" i="33"/>
  <c r="Q31" i="33"/>
  <c r="T33" i="36"/>
  <c r="Q33" i="36"/>
  <c r="T32" i="39"/>
  <c r="Q32" i="39"/>
  <c r="T32" i="37"/>
  <c r="Q32" i="37"/>
  <c r="T33" i="34"/>
  <c r="Q33" i="34"/>
  <c r="Q31" i="32"/>
  <c r="T31" i="32"/>
  <c r="Q31" i="37"/>
  <c r="T32" i="28"/>
  <c r="Q32" i="28"/>
  <c r="Q32" i="36"/>
  <c r="T32" i="36"/>
  <c r="Q31" i="39"/>
  <c r="T31" i="39"/>
  <c r="T31" i="34"/>
  <c r="Q31" i="34"/>
  <c r="Q33" i="33"/>
  <c r="T33" i="33"/>
  <c r="T32" i="33"/>
  <c r="Q32" i="33"/>
  <c r="T33" i="38"/>
  <c r="Q33" i="38"/>
  <c r="S29" i="36"/>
  <c r="P29" i="36"/>
  <c r="S29" i="29"/>
  <c r="P29" i="29"/>
  <c r="S29" i="32"/>
  <c r="P29" i="32"/>
  <c r="N29" i="35"/>
  <c r="R29" i="35"/>
  <c r="O29" i="35"/>
  <c r="R29" i="33"/>
  <c r="O29" i="33"/>
  <c r="N29" i="33"/>
  <c r="S29" i="28"/>
  <c r="P29" i="28"/>
  <c r="R29" i="37"/>
  <c r="O29" i="37"/>
  <c r="N29" i="37"/>
  <c r="R29" i="36"/>
  <c r="N29" i="36"/>
  <c r="O29" i="36"/>
  <c r="S29" i="38"/>
  <c r="P29" i="38"/>
  <c r="N29" i="29"/>
  <c r="O29" i="29"/>
  <c r="R29" i="39"/>
  <c r="O29" i="39"/>
  <c r="N29" i="39"/>
  <c r="R29" i="32"/>
  <c r="N29" i="32"/>
  <c r="O29" i="32"/>
  <c r="S29" i="39"/>
  <c r="P29" i="39"/>
  <c r="S29" i="35"/>
  <c r="P29" i="35"/>
  <c r="R29" i="38"/>
  <c r="O29" i="38"/>
  <c r="N29" i="38"/>
  <c r="S29" i="33"/>
  <c r="P29" i="33"/>
  <c r="O29" i="28"/>
  <c r="N29" i="28"/>
  <c r="R29" i="28"/>
  <c r="S29" i="37"/>
  <c r="P29" i="37"/>
  <c r="W33" i="37" l="1"/>
  <c r="W32" i="37"/>
  <c r="W31" i="37"/>
  <c r="Q30" i="28"/>
  <c r="T30" i="28"/>
  <c r="K32" i="39"/>
  <c r="J31" i="39"/>
  <c r="K33" i="39"/>
  <c r="J33" i="39"/>
  <c r="J32" i="39"/>
  <c r="K31" i="39"/>
  <c r="K31" i="29"/>
  <c r="K32" i="29"/>
  <c r="K33" i="29"/>
  <c r="J32" i="29"/>
  <c r="J33" i="29"/>
  <c r="K32" i="34"/>
  <c r="K31" i="34"/>
  <c r="J31" i="34"/>
  <c r="J32" i="34"/>
  <c r="J33" i="34"/>
  <c r="K33" i="34"/>
  <c r="J32" i="36"/>
  <c r="J33" i="36"/>
  <c r="K31" i="36"/>
  <c r="J31" i="36"/>
  <c r="K32" i="36"/>
  <c r="K33" i="36"/>
  <c r="K30" i="37"/>
  <c r="J33" i="37"/>
  <c r="J32" i="37"/>
  <c r="K33" i="37"/>
  <c r="K31" i="37"/>
  <c r="K32" i="37"/>
  <c r="K32" i="33"/>
  <c r="J31" i="33"/>
  <c r="K33" i="33"/>
  <c r="K31" i="33"/>
  <c r="J33" i="33"/>
  <c r="J32" i="33"/>
  <c r="J31" i="28"/>
  <c r="J32" i="28"/>
  <c r="K32" i="28"/>
  <c r="K31" i="28"/>
  <c r="K33" i="28"/>
  <c r="J33" i="28"/>
  <c r="J32" i="38"/>
  <c r="J31" i="38"/>
  <c r="K32" i="38"/>
  <c r="K33" i="38"/>
  <c r="J33" i="38"/>
  <c r="K31" i="38"/>
  <c r="K31" i="35"/>
  <c r="K33" i="35"/>
  <c r="J33" i="35"/>
  <c r="J31" i="35"/>
  <c r="K32" i="35"/>
  <c r="J32" i="35"/>
  <c r="K31" i="32"/>
  <c r="K32" i="32"/>
  <c r="J32" i="32"/>
  <c r="J33" i="32"/>
  <c r="K33" i="32"/>
  <c r="J31" i="32"/>
  <c r="T29" i="32"/>
  <c r="Q29" i="32"/>
  <c r="T29" i="38"/>
  <c r="Q29" i="38"/>
  <c r="T29" i="39"/>
  <c r="Q29" i="39"/>
  <c r="T29" i="29"/>
  <c r="Q29" i="29"/>
  <c r="T29" i="33"/>
  <c r="Q29" i="33"/>
  <c r="T29" i="35"/>
  <c r="Q29" i="35"/>
  <c r="T29" i="28"/>
  <c r="Q29" i="28"/>
  <c r="T29" i="37"/>
  <c r="Q29" i="37"/>
  <c r="Q29" i="36"/>
  <c r="T29" i="36"/>
  <c r="K29" i="37"/>
  <c r="J29" i="37"/>
  <c r="J30" i="37"/>
  <c r="K30" i="36"/>
  <c r="J29" i="36"/>
  <c r="J30" i="36"/>
  <c r="K29" i="36"/>
  <c r="K29" i="39"/>
  <c r="J30" i="39"/>
  <c r="J29" i="39"/>
  <c r="K30" i="39"/>
  <c r="K29" i="38"/>
  <c r="K30" i="38"/>
  <c r="J29" i="38"/>
  <c r="J30" i="38"/>
  <c r="K29" i="34"/>
  <c r="J29" i="34"/>
  <c r="J30" i="34"/>
  <c r="K30" i="34"/>
  <c r="K30" i="35"/>
  <c r="J29" i="35"/>
  <c r="J30" i="35"/>
  <c r="K29" i="35"/>
  <c r="J29" i="33"/>
  <c r="K30" i="33"/>
  <c r="K29" i="33"/>
  <c r="J30" i="33"/>
  <c r="K30" i="32"/>
  <c r="J29" i="32"/>
  <c r="J30" i="32"/>
  <c r="K29" i="32"/>
  <c r="K30" i="29"/>
  <c r="J30" i="29"/>
  <c r="K29" i="29"/>
  <c r="J29" i="29"/>
  <c r="J29" i="28"/>
  <c r="J30" i="28"/>
  <c r="K30" i="28"/>
  <c r="K29" i="28"/>
  <c r="C24" i="28"/>
  <c r="C24" i="29"/>
  <c r="C24" i="32"/>
  <c r="C24" i="33"/>
  <c r="C24" i="34"/>
  <c r="C24" i="35"/>
  <c r="C24" i="36"/>
  <c r="C24" i="37"/>
  <c r="C24" i="38"/>
  <c r="C24" i="39"/>
  <c r="Q8" i="32"/>
  <c r="Q9" i="32"/>
  <c r="Q10" i="32"/>
  <c r="Q12" i="32"/>
  <c r="P13" i="32"/>
  <c r="P8" i="33"/>
  <c r="Q11" i="33"/>
  <c r="Q8" i="34"/>
  <c r="P9" i="34"/>
  <c r="Q10" i="34"/>
  <c r="Q11" i="34"/>
  <c r="Q13" i="34"/>
  <c r="Q8" i="35"/>
  <c r="Q9" i="35"/>
  <c r="Q11" i="35"/>
  <c r="Q12" i="35"/>
  <c r="P8" i="36"/>
  <c r="P9" i="36"/>
  <c r="Q12" i="36"/>
  <c r="P13" i="36"/>
  <c r="Q8" i="37"/>
  <c r="Q10" i="37"/>
  <c r="Q11" i="37"/>
  <c r="P12" i="37"/>
  <c r="Q8" i="38"/>
  <c r="Q9" i="38"/>
  <c r="P10" i="38"/>
  <c r="Q12" i="38"/>
  <c r="Q13" i="38"/>
  <c r="P8" i="39"/>
  <c r="Q11" i="39"/>
  <c r="P12" i="39"/>
  <c r="Q13" i="28"/>
  <c r="Q8" i="29"/>
  <c r="P9" i="29"/>
  <c r="Q10" i="29"/>
  <c r="Q11" i="29"/>
  <c r="Q12" i="29"/>
  <c r="P13" i="29"/>
  <c r="P11" i="32"/>
  <c r="Q9" i="33"/>
  <c r="P10" i="35"/>
  <c r="Q13" i="35"/>
  <c r="Q11" i="36"/>
  <c r="P9" i="37"/>
  <c r="P13" i="37"/>
  <c r="P13" i="39"/>
  <c r="E28" i="39"/>
  <c r="E27" i="39"/>
  <c r="E26" i="39"/>
  <c r="E25" i="39"/>
  <c r="E24" i="39"/>
  <c r="Q13" i="39"/>
  <c r="E28" i="38"/>
  <c r="E27" i="38"/>
  <c r="E26" i="38"/>
  <c r="E25" i="38"/>
  <c r="E24" i="38"/>
  <c r="E28" i="37"/>
  <c r="E27" i="37"/>
  <c r="E26" i="37"/>
  <c r="E25" i="37"/>
  <c r="E24" i="37"/>
  <c r="E28" i="36"/>
  <c r="E27" i="36"/>
  <c r="E26" i="36"/>
  <c r="E25" i="36"/>
  <c r="E24" i="36"/>
  <c r="E28" i="35"/>
  <c r="E27" i="35"/>
  <c r="E26" i="35"/>
  <c r="E25" i="35"/>
  <c r="E24" i="35"/>
  <c r="E28" i="34"/>
  <c r="E27" i="34"/>
  <c r="E26" i="34"/>
  <c r="E25" i="34"/>
  <c r="E24" i="34"/>
  <c r="E28" i="33"/>
  <c r="E27" i="33"/>
  <c r="E26" i="33"/>
  <c r="E25" i="33"/>
  <c r="E24" i="33"/>
  <c r="Q13" i="33"/>
  <c r="E28" i="32"/>
  <c r="E27" i="32"/>
  <c r="E26" i="32"/>
  <c r="E25" i="32"/>
  <c r="H25" i="32" s="1"/>
  <c r="J25" i="32" s="1"/>
  <c r="E24" i="32"/>
  <c r="E28" i="29"/>
  <c r="E27" i="29"/>
  <c r="E26" i="29"/>
  <c r="E25" i="29"/>
  <c r="H25" i="29" s="1"/>
  <c r="E24" i="29"/>
  <c r="Q9" i="29"/>
  <c r="E26" i="28"/>
  <c r="E27" i="28"/>
  <c r="E28" i="28"/>
  <c r="E25" i="28"/>
  <c r="E24" i="28"/>
  <c r="W29" i="37" l="1"/>
  <c r="B24" i="37"/>
  <c r="B31" i="37"/>
  <c r="B29" i="37"/>
  <c r="B30" i="37"/>
  <c r="B24" i="33"/>
  <c r="B31" i="33"/>
  <c r="B29" i="33"/>
  <c r="B30" i="33"/>
  <c r="B24" i="28"/>
  <c r="B31" i="28"/>
  <c r="B29" i="28"/>
  <c r="B30" i="28"/>
  <c r="B24" i="36"/>
  <c r="B31" i="36"/>
  <c r="B29" i="36"/>
  <c r="B30" i="36"/>
  <c r="B24" i="32"/>
  <c r="B31" i="32"/>
  <c r="B29" i="32"/>
  <c r="B30" i="32"/>
  <c r="B24" i="39"/>
  <c r="B31" i="39"/>
  <c r="B30" i="39"/>
  <c r="B29" i="39"/>
  <c r="B24" i="35"/>
  <c r="B31" i="35"/>
  <c r="B30" i="35"/>
  <c r="B29" i="35"/>
  <c r="B24" i="38"/>
  <c r="B31" i="38"/>
  <c r="B30" i="38"/>
  <c r="B29" i="38"/>
  <c r="B24" i="34"/>
  <c r="B31" i="34"/>
  <c r="B29" i="34"/>
  <c r="B30" i="34"/>
  <c r="B24" i="29"/>
  <c r="B31" i="29"/>
  <c r="B30" i="29"/>
  <c r="B29" i="29"/>
  <c r="I24" i="39"/>
  <c r="I24" i="37"/>
  <c r="I24" i="38"/>
  <c r="I24" i="36"/>
  <c r="I24" i="32"/>
  <c r="I24" i="28"/>
  <c r="I24" i="29"/>
  <c r="I24" i="33"/>
  <c r="I24" i="34"/>
  <c r="I24" i="35"/>
  <c r="P8" i="35"/>
  <c r="Q7" i="38"/>
  <c r="Q13" i="29"/>
  <c r="P13" i="35"/>
  <c r="Q13" i="37"/>
  <c r="P13" i="28"/>
  <c r="H28" i="35"/>
  <c r="I28" i="35"/>
  <c r="H28" i="33"/>
  <c r="I28" i="33"/>
  <c r="H27" i="28"/>
  <c r="I27" i="28"/>
  <c r="H27" i="29"/>
  <c r="I27" i="29"/>
  <c r="H28" i="32"/>
  <c r="I28" i="32"/>
  <c r="I27" i="34"/>
  <c r="H27" i="34"/>
  <c r="I27" i="36"/>
  <c r="H27" i="36"/>
  <c r="I27" i="37"/>
  <c r="H27" i="37"/>
  <c r="I27" i="33"/>
  <c r="H27" i="33"/>
  <c r="I27" i="38"/>
  <c r="H27" i="38"/>
  <c r="I27" i="39"/>
  <c r="H27" i="39"/>
  <c r="H28" i="28"/>
  <c r="I28" i="28"/>
  <c r="I27" i="32"/>
  <c r="H27" i="32"/>
  <c r="H28" i="38"/>
  <c r="I28" i="38"/>
  <c r="H28" i="39"/>
  <c r="I28" i="39"/>
  <c r="Q13" i="36"/>
  <c r="Q13" i="32"/>
  <c r="H28" i="29"/>
  <c r="I28" i="29"/>
  <c r="H28" i="34"/>
  <c r="I28" i="34"/>
  <c r="I27" i="35"/>
  <c r="H27" i="35"/>
  <c r="H28" i="36"/>
  <c r="I28" i="36"/>
  <c r="H28" i="37"/>
  <c r="I28" i="37"/>
  <c r="P13" i="33"/>
  <c r="P13" i="38"/>
  <c r="P13" i="34"/>
  <c r="P10" i="32"/>
  <c r="Q10" i="38"/>
  <c r="Q7" i="29"/>
  <c r="P12" i="29"/>
  <c r="P12" i="35"/>
  <c r="Q8" i="39"/>
  <c r="P10" i="34"/>
  <c r="P12" i="32"/>
  <c r="Q12" i="39"/>
  <c r="H25" i="39"/>
  <c r="O25" i="39" s="1"/>
  <c r="I25" i="39"/>
  <c r="H26" i="29"/>
  <c r="O26" i="29" s="1"/>
  <c r="I26" i="29"/>
  <c r="H25" i="36"/>
  <c r="O25" i="36" s="1"/>
  <c r="I25" i="36"/>
  <c r="H26" i="39"/>
  <c r="O26" i="39" s="1"/>
  <c r="I26" i="39"/>
  <c r="H25" i="28"/>
  <c r="I25" i="28"/>
  <c r="P25" i="28" s="1"/>
  <c r="H26" i="28"/>
  <c r="O26" i="28" s="1"/>
  <c r="I26" i="28"/>
  <c r="O25" i="32"/>
  <c r="I25" i="32"/>
  <c r="H25" i="33"/>
  <c r="O25" i="33" s="1"/>
  <c r="I25" i="33"/>
  <c r="Q10" i="35"/>
  <c r="H26" i="35"/>
  <c r="O26" i="35" s="1"/>
  <c r="I26" i="35"/>
  <c r="H26" i="36"/>
  <c r="O26" i="36" s="1"/>
  <c r="I26" i="36"/>
  <c r="H26" i="37"/>
  <c r="O26" i="37" s="1"/>
  <c r="I26" i="37"/>
  <c r="H25" i="38"/>
  <c r="O25" i="38" s="1"/>
  <c r="I25" i="38"/>
  <c r="O25" i="29"/>
  <c r="I25" i="29"/>
  <c r="H25" i="34"/>
  <c r="O25" i="34" s="1"/>
  <c r="I25" i="34"/>
  <c r="H26" i="34"/>
  <c r="O26" i="34" s="1"/>
  <c r="I26" i="34"/>
  <c r="H25" i="35"/>
  <c r="O25" i="35" s="1"/>
  <c r="I25" i="35"/>
  <c r="H25" i="37"/>
  <c r="O25" i="37" s="1"/>
  <c r="I25" i="37"/>
  <c r="H26" i="32"/>
  <c r="O26" i="32" s="1"/>
  <c r="I26" i="32"/>
  <c r="H26" i="33"/>
  <c r="O26" i="33" s="1"/>
  <c r="I26" i="33"/>
  <c r="H26" i="38"/>
  <c r="O26" i="38" s="1"/>
  <c r="I26" i="38"/>
  <c r="Q12" i="28"/>
  <c r="Q9" i="34"/>
  <c r="Q6" i="35"/>
  <c r="P7" i="38"/>
  <c r="P7" i="34"/>
  <c r="Q11" i="28"/>
  <c r="Q8" i="36"/>
  <c r="P12" i="38"/>
  <c r="P10" i="29"/>
  <c r="P10" i="37"/>
  <c r="P8" i="38"/>
  <c r="Q7" i="35"/>
  <c r="P12" i="28"/>
  <c r="P8" i="34"/>
  <c r="P12" i="36"/>
  <c r="P9" i="33"/>
  <c r="Q6" i="34"/>
  <c r="P7" i="35"/>
  <c r="Q7" i="37"/>
  <c r="P7" i="33"/>
  <c r="P7" i="29"/>
  <c r="Q7" i="36"/>
  <c r="Q7" i="32"/>
  <c r="K24" i="29"/>
  <c r="K24" i="32"/>
  <c r="J24" i="32"/>
  <c r="P11" i="39"/>
  <c r="Q9" i="36"/>
  <c r="P11" i="33"/>
  <c r="J24" i="33"/>
  <c r="P6" i="35"/>
  <c r="Q10" i="39"/>
  <c r="Q10" i="33"/>
  <c r="P7" i="39"/>
  <c r="P12" i="34"/>
  <c r="P10" i="33"/>
  <c r="P8" i="32"/>
  <c r="K24" i="38"/>
  <c r="J24" i="39"/>
  <c r="K24" i="39"/>
  <c r="Q9" i="39"/>
  <c r="P9" i="35"/>
  <c r="P11" i="28"/>
  <c r="P9" i="39"/>
  <c r="Q11" i="38"/>
  <c r="Q9" i="37"/>
  <c r="P11" i="36"/>
  <c r="Q11" i="32"/>
  <c r="P6" i="34"/>
  <c r="K24" i="34"/>
  <c r="Q7" i="34"/>
  <c r="Q7" i="33"/>
  <c r="P8" i="37"/>
  <c r="P10" i="36"/>
  <c r="Q12" i="33"/>
  <c r="Q8" i="33"/>
  <c r="Q12" i="37"/>
  <c r="J28" i="39"/>
  <c r="Q12" i="34"/>
  <c r="P12" i="33"/>
  <c r="J28" i="32"/>
  <c r="J28" i="29"/>
  <c r="J27" i="37"/>
  <c r="P11" i="37"/>
  <c r="K27" i="36"/>
  <c r="P11" i="38"/>
  <c r="P11" i="34"/>
  <c r="K27" i="35"/>
  <c r="P11" i="35"/>
  <c r="K27" i="33"/>
  <c r="P11" i="29"/>
  <c r="Q10" i="36"/>
  <c r="P10" i="39"/>
  <c r="P9" i="38"/>
  <c r="P6" i="39"/>
  <c r="Q7" i="39"/>
  <c r="Q8" i="28"/>
  <c r="Q9" i="28"/>
  <c r="Q6" i="28"/>
  <c r="P9" i="32"/>
  <c r="P7" i="37"/>
  <c r="Q6" i="36"/>
  <c r="P7" i="36"/>
  <c r="P6" i="36"/>
  <c r="P6" i="38"/>
  <c r="P6" i="37"/>
  <c r="Q6" i="37"/>
  <c r="Q6" i="39"/>
  <c r="Q6" i="38"/>
  <c r="P8" i="29"/>
  <c r="P6" i="33"/>
  <c r="P7" i="32"/>
  <c r="Q6" i="33"/>
  <c r="Q6" i="32"/>
  <c r="P6" i="32"/>
  <c r="Q6" i="29"/>
  <c r="P6" i="29"/>
  <c r="P6" i="28"/>
  <c r="P10" i="28"/>
  <c r="Q10" i="28"/>
  <c r="Q7" i="28"/>
  <c r="P9" i="28"/>
  <c r="J26" i="28" l="1"/>
  <c r="K24" i="36"/>
  <c r="K24" i="35"/>
  <c r="K28" i="39"/>
  <c r="K28" i="35"/>
  <c r="K24" i="28"/>
  <c r="K26" i="34"/>
  <c r="K26" i="36"/>
  <c r="J27" i="32"/>
  <c r="J27" i="35"/>
  <c r="J27" i="39"/>
  <c r="K26" i="38"/>
  <c r="K27" i="28"/>
  <c r="J27" i="36"/>
  <c r="K28" i="29"/>
  <c r="K28" i="37"/>
  <c r="K25" i="28"/>
  <c r="K24" i="33"/>
  <c r="K25" i="38"/>
  <c r="J27" i="33"/>
  <c r="K28" i="32"/>
  <c r="J24" i="37"/>
  <c r="R24" i="35"/>
  <c r="O24" i="35"/>
  <c r="N24" i="35"/>
  <c r="R24" i="33"/>
  <c r="O24" i="33"/>
  <c r="N24" i="33"/>
  <c r="R24" i="28"/>
  <c r="J24" i="28"/>
  <c r="O24" i="36"/>
  <c r="R24" i="36"/>
  <c r="N24" i="36"/>
  <c r="S24" i="37"/>
  <c r="P24" i="37"/>
  <c r="J27" i="28"/>
  <c r="J28" i="35"/>
  <c r="J24" i="35"/>
  <c r="K24" i="37"/>
  <c r="P24" i="35"/>
  <c r="S24" i="35"/>
  <c r="P24" i="33"/>
  <c r="S24" i="33"/>
  <c r="S24" i="28"/>
  <c r="P24" i="28"/>
  <c r="S24" i="36"/>
  <c r="P24" i="36"/>
  <c r="R24" i="37"/>
  <c r="N24" i="37"/>
  <c r="O24" i="37"/>
  <c r="R24" i="34"/>
  <c r="O24" i="34"/>
  <c r="N24" i="34"/>
  <c r="O24" i="29"/>
  <c r="N24" i="29"/>
  <c r="R24" i="29"/>
  <c r="O24" i="32"/>
  <c r="R24" i="32"/>
  <c r="N24" i="32"/>
  <c r="O24" i="38"/>
  <c r="N24" i="38"/>
  <c r="R24" i="38"/>
  <c r="R24" i="39"/>
  <c r="O24" i="39"/>
  <c r="N24" i="39"/>
  <c r="K27" i="32"/>
  <c r="K27" i="39"/>
  <c r="J28" i="37"/>
  <c r="J24" i="34"/>
  <c r="J24" i="38"/>
  <c r="J24" i="36"/>
  <c r="J24" i="29"/>
  <c r="S24" i="34"/>
  <c r="P24" i="34"/>
  <c r="S24" i="29"/>
  <c r="P24" i="29"/>
  <c r="P24" i="32"/>
  <c r="S24" i="32"/>
  <c r="P24" i="38"/>
  <c r="S24" i="38"/>
  <c r="P24" i="39"/>
  <c r="S24" i="39"/>
  <c r="J26" i="35"/>
  <c r="J26" i="39"/>
  <c r="J28" i="33"/>
  <c r="J28" i="38"/>
  <c r="K27" i="38"/>
  <c r="K25" i="32"/>
  <c r="J25" i="35"/>
  <c r="J25" i="29"/>
  <c r="J27" i="29"/>
  <c r="K27" i="34"/>
  <c r="J28" i="36"/>
  <c r="J26" i="29"/>
  <c r="S25" i="35"/>
  <c r="P25" i="35"/>
  <c r="S25" i="29"/>
  <c r="P25" i="29"/>
  <c r="S26" i="37"/>
  <c r="P26" i="37"/>
  <c r="S26" i="35"/>
  <c r="P26" i="35"/>
  <c r="S26" i="28"/>
  <c r="P26" i="28"/>
  <c r="S26" i="39"/>
  <c r="P26" i="39"/>
  <c r="S28" i="36"/>
  <c r="P28" i="36"/>
  <c r="S28" i="38"/>
  <c r="P28" i="38"/>
  <c r="R27" i="38"/>
  <c r="O27" i="38"/>
  <c r="N27" i="38"/>
  <c r="O27" i="34"/>
  <c r="N27" i="34"/>
  <c r="R27" i="34"/>
  <c r="P28" i="33"/>
  <c r="S28" i="33"/>
  <c r="K28" i="36"/>
  <c r="S25" i="32"/>
  <c r="P25" i="32"/>
  <c r="R28" i="36"/>
  <c r="O28" i="36"/>
  <c r="N28" i="36"/>
  <c r="O28" i="34"/>
  <c r="N28" i="34"/>
  <c r="R28" i="34"/>
  <c r="R28" i="38"/>
  <c r="O28" i="38"/>
  <c r="N28" i="38"/>
  <c r="R28" i="28"/>
  <c r="O28" i="28"/>
  <c r="N28" i="28"/>
  <c r="S27" i="38"/>
  <c r="P27" i="38"/>
  <c r="S27" i="37"/>
  <c r="P27" i="37"/>
  <c r="S27" i="34"/>
  <c r="P27" i="34"/>
  <c r="N27" i="29"/>
  <c r="O27" i="29"/>
  <c r="R27" i="29"/>
  <c r="O28" i="33"/>
  <c r="R28" i="33"/>
  <c r="N28" i="33"/>
  <c r="J27" i="34"/>
  <c r="J28" i="28"/>
  <c r="K28" i="33"/>
  <c r="K28" i="34"/>
  <c r="J26" i="33"/>
  <c r="K26" i="28"/>
  <c r="S26" i="38"/>
  <c r="P26" i="38"/>
  <c r="S26" i="32"/>
  <c r="P26" i="32"/>
  <c r="S25" i="37"/>
  <c r="P25" i="37"/>
  <c r="S26" i="34"/>
  <c r="P26" i="34"/>
  <c r="S25" i="34"/>
  <c r="P25" i="34"/>
  <c r="S25" i="38"/>
  <c r="P25" i="38"/>
  <c r="S26" i="36"/>
  <c r="P26" i="36"/>
  <c r="S25" i="36"/>
  <c r="P25" i="36"/>
  <c r="S25" i="39"/>
  <c r="P25" i="39"/>
  <c r="S28" i="37"/>
  <c r="P28" i="37"/>
  <c r="O27" i="35"/>
  <c r="N27" i="35"/>
  <c r="R27" i="35"/>
  <c r="S28" i="29"/>
  <c r="P28" i="29"/>
  <c r="S28" i="39"/>
  <c r="P28" i="39"/>
  <c r="O27" i="32"/>
  <c r="R27" i="32"/>
  <c r="N27" i="32"/>
  <c r="O27" i="39"/>
  <c r="R27" i="39"/>
  <c r="N27" i="39"/>
  <c r="O27" i="33"/>
  <c r="R27" i="33"/>
  <c r="N27" i="33"/>
  <c r="R27" i="36"/>
  <c r="O27" i="36"/>
  <c r="N27" i="36"/>
  <c r="P28" i="32"/>
  <c r="S28" i="32"/>
  <c r="S27" i="28"/>
  <c r="P27" i="28"/>
  <c r="P28" i="35"/>
  <c r="S28" i="35"/>
  <c r="S26" i="33"/>
  <c r="S26" i="29"/>
  <c r="P26" i="29"/>
  <c r="S28" i="34"/>
  <c r="P28" i="34"/>
  <c r="P28" i="28"/>
  <c r="S28" i="28"/>
  <c r="O27" i="37"/>
  <c r="R27" i="37"/>
  <c r="N27" i="37"/>
  <c r="S27" i="29"/>
  <c r="P27" i="29"/>
  <c r="J27" i="38"/>
  <c r="K28" i="28"/>
  <c r="K28" i="38"/>
  <c r="J26" i="37"/>
  <c r="K27" i="29"/>
  <c r="K27" i="37"/>
  <c r="J28" i="34"/>
  <c r="S25" i="33"/>
  <c r="P25" i="33"/>
  <c r="R25" i="28"/>
  <c r="O25" i="28"/>
  <c r="N28" i="37"/>
  <c r="R28" i="37"/>
  <c r="O28" i="37"/>
  <c r="S27" i="35"/>
  <c r="P27" i="35"/>
  <c r="O28" i="29"/>
  <c r="N28" i="29"/>
  <c r="R28" i="29"/>
  <c r="R28" i="39"/>
  <c r="O28" i="39"/>
  <c r="N28" i="39"/>
  <c r="S27" i="32"/>
  <c r="P27" i="32"/>
  <c r="S27" i="39"/>
  <c r="P27" i="39"/>
  <c r="S27" i="33"/>
  <c r="P27" i="33"/>
  <c r="S27" i="36"/>
  <c r="P27" i="36"/>
  <c r="R28" i="32"/>
  <c r="N28" i="32"/>
  <c r="O28" i="32"/>
  <c r="R27" i="28"/>
  <c r="O27" i="28"/>
  <c r="N27" i="28"/>
  <c r="R28" i="35"/>
  <c r="O28" i="35"/>
  <c r="N28" i="35"/>
  <c r="K25" i="37"/>
  <c r="K25" i="39"/>
  <c r="N26" i="29"/>
  <c r="Q26" i="29" s="1"/>
  <c r="J25" i="34"/>
  <c r="K25" i="33"/>
  <c r="J25" i="28"/>
  <c r="J25" i="36"/>
  <c r="J25" i="38"/>
  <c r="J26" i="38"/>
  <c r="J26" i="36"/>
  <c r="J26" i="32"/>
  <c r="J26" i="34"/>
  <c r="J25" i="37"/>
  <c r="K26" i="32"/>
  <c r="K25" i="36"/>
  <c r="K25" i="34"/>
  <c r="J25" i="39"/>
  <c r="K26" i="39"/>
  <c r="K25" i="29"/>
  <c r="K25" i="35"/>
  <c r="J25" i="33"/>
  <c r="R26" i="33"/>
  <c r="N26" i="33"/>
  <c r="R25" i="35"/>
  <c r="N25" i="35"/>
  <c r="R25" i="29"/>
  <c r="N25" i="29"/>
  <c r="N26" i="37"/>
  <c r="R26" i="37"/>
  <c r="R26" i="35"/>
  <c r="N26" i="35"/>
  <c r="N26" i="28"/>
  <c r="R26" i="28"/>
  <c r="R26" i="39"/>
  <c r="N26" i="39"/>
  <c r="R26" i="29"/>
  <c r="K26" i="35"/>
  <c r="K26" i="37"/>
  <c r="K26" i="29"/>
  <c r="K26" i="33"/>
  <c r="R25" i="32"/>
  <c r="N25" i="32"/>
  <c r="N25" i="28"/>
  <c r="S25" i="28"/>
  <c r="R25" i="33"/>
  <c r="N25" i="33"/>
  <c r="R26" i="38"/>
  <c r="N26" i="38"/>
  <c r="R26" i="32"/>
  <c r="N26" i="32"/>
  <c r="R25" i="37"/>
  <c r="N25" i="37"/>
  <c r="N26" i="34"/>
  <c r="R26" i="34"/>
  <c r="R25" i="34"/>
  <c r="N25" i="34"/>
  <c r="R25" i="38"/>
  <c r="N25" i="38"/>
  <c r="N26" i="36"/>
  <c r="R26" i="36"/>
  <c r="R25" i="36"/>
  <c r="N25" i="36"/>
  <c r="R25" i="39"/>
  <c r="N25" i="39"/>
  <c r="C28" i="36"/>
  <c r="B28" i="36" s="1"/>
  <c r="T26" i="29" l="1"/>
  <c r="T24" i="39"/>
  <c r="Q24" i="39"/>
  <c r="T24" i="38"/>
  <c r="Q24" i="38"/>
  <c r="Q24" i="34"/>
  <c r="T24" i="34"/>
  <c r="Q24" i="36"/>
  <c r="T24" i="36"/>
  <c r="O24" i="28"/>
  <c r="N24" i="28"/>
  <c r="Q24" i="35"/>
  <c r="T24" i="35"/>
  <c r="Q24" i="33"/>
  <c r="T24" i="33"/>
  <c r="Q24" i="32"/>
  <c r="T24" i="32"/>
  <c r="Q24" i="29"/>
  <c r="T24" i="29"/>
  <c r="Q24" i="37"/>
  <c r="T24" i="37"/>
  <c r="T25" i="38"/>
  <c r="Q25" i="38"/>
  <c r="T26" i="32"/>
  <c r="Q26" i="32"/>
  <c r="T26" i="37"/>
  <c r="Q26" i="37"/>
  <c r="T27" i="32"/>
  <c r="Q27" i="32"/>
  <c r="T28" i="38"/>
  <c r="Q28" i="38"/>
  <c r="T26" i="34"/>
  <c r="Q26" i="34"/>
  <c r="T26" i="39"/>
  <c r="Q26" i="39"/>
  <c r="T25" i="29"/>
  <c r="Q25" i="29"/>
  <c r="Q27" i="28"/>
  <c r="T27" i="28"/>
  <c r="T28" i="29"/>
  <c r="Q28" i="29"/>
  <c r="T27" i="37"/>
  <c r="Q27" i="37"/>
  <c r="T27" i="39"/>
  <c r="Q27" i="39"/>
  <c r="T25" i="39"/>
  <c r="Q25" i="39"/>
  <c r="T25" i="34"/>
  <c r="Q25" i="34"/>
  <c r="T26" i="38"/>
  <c r="Q26" i="38"/>
  <c r="T25" i="28"/>
  <c r="Q25" i="28"/>
  <c r="T28" i="35"/>
  <c r="Q28" i="35"/>
  <c r="T28" i="37"/>
  <c r="Q28" i="37"/>
  <c r="Q27" i="33"/>
  <c r="T27" i="33"/>
  <c r="T27" i="35"/>
  <c r="Q27" i="35"/>
  <c r="T25" i="36"/>
  <c r="Q25" i="36"/>
  <c r="T26" i="28"/>
  <c r="Q26" i="28"/>
  <c r="T27" i="29"/>
  <c r="Q27" i="29"/>
  <c r="T25" i="33"/>
  <c r="Q25" i="33"/>
  <c r="T26" i="35"/>
  <c r="Q26" i="35"/>
  <c r="T25" i="35"/>
  <c r="Q25" i="35"/>
  <c r="T26" i="33"/>
  <c r="Q26" i="33"/>
  <c r="T28" i="39"/>
  <c r="Q28" i="39"/>
  <c r="T28" i="28"/>
  <c r="Q28" i="28"/>
  <c r="T28" i="36"/>
  <c r="Q28" i="36"/>
  <c r="T27" i="34"/>
  <c r="Q27" i="34"/>
  <c r="T25" i="37"/>
  <c r="Q25" i="37"/>
  <c r="T26" i="36"/>
  <c r="Q26" i="36"/>
  <c r="T28" i="32"/>
  <c r="Q28" i="32"/>
  <c r="T27" i="36"/>
  <c r="Q27" i="36"/>
  <c r="T28" i="33"/>
  <c r="Q28" i="33"/>
  <c r="T28" i="34"/>
  <c r="Q28" i="34"/>
  <c r="T27" i="38"/>
  <c r="Q27" i="38"/>
  <c r="T25" i="32"/>
  <c r="Q25" i="32"/>
  <c r="C28" i="35"/>
  <c r="B28" i="35" s="1"/>
  <c r="C28" i="33"/>
  <c r="B28" i="33" s="1"/>
  <c r="C28" i="28"/>
  <c r="B28" i="28" s="1"/>
  <c r="W25" i="37" l="1"/>
  <c r="W27" i="37"/>
  <c r="W28" i="37"/>
  <c r="W26" i="37"/>
  <c r="W24" i="37"/>
  <c r="T24" i="28"/>
  <c r="Q24" i="28"/>
  <c r="C28" i="39"/>
  <c r="B28" i="39" s="1"/>
  <c r="C28" i="37"/>
  <c r="B28" i="37" s="1"/>
  <c r="C28" i="32"/>
  <c r="B28" i="32" s="1"/>
  <c r="C28" i="29"/>
  <c r="B28" i="29" s="1"/>
  <c r="C28" i="38" l="1"/>
  <c r="B28" i="38" s="1"/>
  <c r="C28" i="34"/>
  <c r="B28" i="34" s="1"/>
  <c r="B8" i="28" l="1"/>
  <c r="B8" i="29"/>
  <c r="B9" i="28"/>
  <c r="C25" i="28"/>
  <c r="B25" i="28" s="1"/>
  <c r="B9" i="29"/>
  <c r="C25" i="29"/>
  <c r="B25" i="29" s="1"/>
  <c r="B10" i="28"/>
  <c r="C26" i="28"/>
  <c r="B26" i="28" s="1"/>
  <c r="B10" i="29"/>
  <c r="C26" i="29"/>
  <c r="B26" i="29" s="1"/>
  <c r="B11" i="28"/>
  <c r="C27" i="28"/>
  <c r="B27" i="28" s="1"/>
  <c r="B11" i="29"/>
  <c r="C27" i="29"/>
  <c r="B27" i="29" s="1"/>
  <c r="B8" i="33"/>
  <c r="B8" i="32"/>
  <c r="B9" i="33"/>
  <c r="C25" i="33"/>
  <c r="B25" i="33" s="1"/>
  <c r="B9" i="32"/>
  <c r="C25" i="32"/>
  <c r="B25" i="32" s="1"/>
  <c r="B10" i="33"/>
  <c r="C26" i="33"/>
  <c r="B26" i="33" s="1"/>
  <c r="B10" i="32"/>
  <c r="C26" i="32"/>
  <c r="B26" i="32" s="1"/>
  <c r="B11" i="33"/>
  <c r="C27" i="33"/>
  <c r="B27" i="33" s="1"/>
  <c r="B11" i="32"/>
  <c r="C27" i="32"/>
  <c r="B27" i="32" s="1"/>
  <c r="B9" i="37"/>
  <c r="C25" i="37"/>
  <c r="B25" i="37" s="1"/>
  <c r="B9" i="36"/>
  <c r="C25" i="36"/>
  <c r="B25" i="36" s="1"/>
  <c r="B10" i="36"/>
  <c r="C26" i="36"/>
  <c r="B26" i="36" s="1"/>
  <c r="B10" i="37"/>
  <c r="C26" i="37"/>
  <c r="B26" i="37" s="1"/>
  <c r="B11" i="36"/>
  <c r="C27" i="36"/>
  <c r="B27" i="36" s="1"/>
  <c r="B11" i="37"/>
  <c r="C27" i="37"/>
  <c r="B27" i="37" s="1"/>
  <c r="B8" i="37"/>
  <c r="B8" i="36"/>
  <c r="B8" i="35"/>
  <c r="B8" i="34"/>
  <c r="B9" i="34"/>
  <c r="C25" i="34"/>
  <c r="B25" i="34" s="1"/>
  <c r="B9" i="35"/>
  <c r="C25" i="35"/>
  <c r="B25" i="35" s="1"/>
  <c r="B10" i="34"/>
  <c r="C26" i="34"/>
  <c r="B26" i="34" s="1"/>
  <c r="B10" i="35"/>
  <c r="C26" i="35"/>
  <c r="B26" i="35" s="1"/>
  <c r="B11" i="35"/>
  <c r="C27" i="35"/>
  <c r="B27" i="35" s="1"/>
  <c r="B11" i="34"/>
  <c r="C27" i="34"/>
  <c r="B27" i="34" s="1"/>
  <c r="B8" i="39"/>
  <c r="B8" i="38"/>
  <c r="B9" i="38"/>
  <c r="C25" i="38"/>
  <c r="B25" i="38" s="1"/>
  <c r="C25" i="39"/>
  <c r="B25" i="39" s="1"/>
  <c r="B9" i="39"/>
  <c r="B10" i="39"/>
  <c r="C26" i="39"/>
  <c r="B26" i="39" s="1"/>
  <c r="B10" i="38"/>
  <c r="C26" i="38"/>
  <c r="B26" i="38" s="1"/>
  <c r="B11" i="38"/>
  <c r="C27" i="38"/>
  <c r="B27" i="38" s="1"/>
  <c r="B11" i="39"/>
  <c r="C27" i="39"/>
  <c r="B27" i="39" s="1"/>
</calcChain>
</file>

<file path=xl/sharedStrings.xml><?xml version="1.0" encoding="utf-8"?>
<sst xmlns="http://schemas.openxmlformats.org/spreadsheetml/2006/main" count="514" uniqueCount="108">
  <si>
    <t>Days</t>
  </si>
  <si>
    <r>
      <t>l</t>
    </r>
    <r>
      <rPr>
        <vertAlign val="subscript"/>
        <sz val="11"/>
        <color theme="1"/>
        <rFont val="Calibri"/>
        <family val="2"/>
        <scheme val="minor"/>
      </rPr>
      <t>i</t>
    </r>
  </si>
  <si>
    <t>After demolding</t>
  </si>
  <si>
    <t>Bar</t>
  </si>
  <si>
    <t>Mix</t>
  </si>
  <si>
    <t>H1</t>
  </si>
  <si>
    <t>H2</t>
  </si>
  <si>
    <t>H3</t>
  </si>
  <si>
    <t>Volume [mL]</t>
  </si>
  <si>
    <t>Height [mm]</t>
  </si>
  <si>
    <t>Date</t>
  </si>
  <si>
    <t>Volume  [mL]</t>
  </si>
  <si>
    <t>Na</t>
  </si>
  <si>
    <t>K</t>
  </si>
  <si>
    <t>ICP [mg/L]</t>
  </si>
  <si>
    <t>Weight [g]</t>
  </si>
  <si>
    <t>A1</t>
  </si>
  <si>
    <t>A2</t>
  </si>
  <si>
    <t>A3</t>
  </si>
  <si>
    <t>B1</t>
  </si>
  <si>
    <t>B2</t>
  </si>
  <si>
    <t>B3</t>
  </si>
  <si>
    <t>E1</t>
  </si>
  <si>
    <t>E2</t>
  </si>
  <si>
    <t>E3</t>
  </si>
  <si>
    <t>F1</t>
  </si>
  <si>
    <t>F2</t>
  </si>
  <si>
    <t>F3</t>
  </si>
  <si>
    <t>G1</t>
  </si>
  <si>
    <t>G2</t>
  </si>
  <si>
    <t>G3</t>
  </si>
  <si>
    <t>I1</t>
  </si>
  <si>
    <t>I2</t>
  </si>
  <si>
    <t>I3</t>
  </si>
  <si>
    <t>J1</t>
  </si>
  <si>
    <t>J2</t>
  </si>
  <si>
    <t>J3</t>
  </si>
  <si>
    <t>CB</t>
  </si>
  <si>
    <t>Comments</t>
  </si>
  <si>
    <t>Black stains</t>
  </si>
  <si>
    <t>K1</t>
  </si>
  <si>
    <t>K2</t>
  </si>
  <si>
    <t>K3</t>
  </si>
  <si>
    <t>L1</t>
  </si>
  <si>
    <t>L2</t>
  </si>
  <si>
    <t>L3</t>
  </si>
  <si>
    <t>Huge stains</t>
  </si>
  <si>
    <t>Bit smaller / ASV</t>
  </si>
  <si>
    <t>Some stains</t>
  </si>
  <si>
    <t>No stain</t>
  </si>
  <si>
    <t>A few stains</t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</si>
  <si>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</si>
  <si>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</si>
  <si>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</si>
  <si>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</si>
  <si>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Amount in water [mg]</t>
  </si>
  <si>
    <t>Cement</t>
  </si>
  <si>
    <t>SCM</t>
  </si>
  <si>
    <t>RL</t>
  </si>
  <si>
    <t>Amount [g/bucket]</t>
  </si>
  <si>
    <t>ReferenceR</t>
  </si>
  <si>
    <t>ReferenceHA</t>
  </si>
  <si>
    <t>Cracks</t>
  </si>
  <si>
    <t>Leached out</t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</si>
  <si>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[%]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</si>
  <si>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[%]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</si>
  <si>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[%]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</si>
  <si>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[%]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</si>
  <si>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[wt. %]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</si>
  <si>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[wt. %]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</si>
  <si>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[wt. %]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</si>
  <si>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[wt. %]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</si>
  <si>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eq</t>
    </r>
    <r>
      <rPr>
        <sz val="11"/>
        <color theme="1"/>
        <rFont val="Calibri"/>
        <family val="2"/>
        <scheme val="minor"/>
      </rPr>
      <t xml:space="preserve"> [wt. %]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</si>
  <si>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eq</t>
    </r>
    <r>
      <rPr>
        <sz val="11"/>
        <color theme="1"/>
        <rFont val="Calibri"/>
        <family val="2"/>
        <scheme val="minor"/>
      </rPr>
      <t xml:space="preserve"> [wt. %]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</si>
  <si>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[kg/m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]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</si>
  <si>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[kg/m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]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</si>
  <si>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[kg/m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]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</si>
  <si>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[kg/m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]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</si>
  <si>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eq</t>
    </r>
    <r>
      <rPr>
        <sz val="11"/>
        <color theme="1"/>
        <rFont val="Calibri"/>
        <family val="2"/>
        <scheme val="minor"/>
      </rPr>
      <t xml:space="preserve"> [kg/m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]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</si>
  <si>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eq</t>
    </r>
    <r>
      <rPr>
        <sz val="11"/>
        <color theme="1"/>
        <rFont val="Calibri"/>
        <family val="2"/>
        <scheme val="minor"/>
      </rPr>
      <t xml:space="preserve"> [kg/m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]</t>
    </r>
  </si>
  <si>
    <t>Reading [mm]</t>
  </si>
  <si>
    <t>Avg mass gain [wt. %]</t>
  </si>
  <si>
    <t>Std dev</t>
  </si>
  <si>
    <t>Gain mass [%]</t>
  </si>
  <si>
    <t>SSA</t>
  </si>
  <si>
    <t>FA</t>
  </si>
  <si>
    <t>GB</t>
  </si>
  <si>
    <t>Binder [g/100 g]</t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</si>
  <si>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eq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</si>
  <si>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[%]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</si>
  <si>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[%]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</si>
  <si>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eq</t>
    </r>
    <r>
      <rPr>
        <sz val="11"/>
        <color theme="1"/>
        <rFont val="Calibri"/>
        <family val="2"/>
        <scheme val="minor"/>
      </rPr>
      <t xml:space="preserve"> [%]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</si>
  <si>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eq</t>
    </r>
    <r>
      <rPr>
        <sz val="11"/>
        <color theme="1"/>
        <rFont val="Calibri"/>
        <family val="2"/>
        <scheme val="minor"/>
      </rPr>
      <t xml:space="preserve"> [%]</t>
    </r>
  </si>
  <si>
    <t>Uncertainty alkali content</t>
  </si>
  <si>
    <t>ICP measurement</t>
  </si>
  <si>
    <t>%</t>
  </si>
  <si>
    <t>Volume measurement</t>
  </si>
  <si>
    <t>± 0.2 mm error on the reading</t>
  </si>
  <si>
    <t>Total uncertainty</t>
  </si>
  <si>
    <t>Left in concrete</t>
  </si>
  <si>
    <r>
      <t>Free 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eq</t>
    </r>
  </si>
  <si>
    <r>
      <t>Free 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[kg/m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]</t>
    </r>
  </si>
  <si>
    <t>Exp. [%]</t>
  </si>
  <si>
    <t>Avg exp.  [%]</t>
  </si>
  <si>
    <t>BA1</t>
  </si>
  <si>
    <t>BA2</t>
  </si>
  <si>
    <t>CC2</t>
  </si>
  <si>
    <t>CC1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</si>
</sst>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4" fontId="0" fillId="0" borderId="0" xfId="0" applyNumberFormat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9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9" borderId="7" xfId="0" applyFill="1" applyBorder="1" applyAlignment="1">
      <alignment horizontal="left" vertical="center"/>
    </xf>
    <xf numFmtId="0" fontId="0" fillId="9" borderId="13" xfId="0" applyFill="1" applyBorder="1" applyAlignment="1">
      <alignment horizontal="center" vertical="center"/>
    </xf>
    <xf numFmtId="165" fontId="0" fillId="9" borderId="13" xfId="0" applyNumberForma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2" fontId="5" fillId="9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E480E"/>
      <color rgb="FF997300"/>
      <color rgb="FF255E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32291666666666"/>
          <c:y val="5.02443510014427E-2"/>
          <c:w val="0.77578402777777777"/>
          <c:h val="0.83366790123456802"/>
        </c:manualLayout>
      </c:layout>
      <c:scatterChart>
        <c:scatterStyle val="lineMarker"/>
        <c:varyColors val="0"/>
        <c:ser>
          <c:idx val="0"/>
          <c:order val="0"/>
          <c:tx>
            <c:v>LA-Ref</c:v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'LA-REF'!$B$7:$B$17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29</c:v>
                </c:pt>
                <c:pt idx="3">
                  <c:v>57</c:v>
                </c:pt>
                <c:pt idx="4">
                  <c:v>91</c:v>
                </c:pt>
                <c:pt idx="5">
                  <c:v>199</c:v>
                </c:pt>
                <c:pt idx="6">
                  <c:v>373</c:v>
                </c:pt>
                <c:pt idx="7">
                  <c:v>464</c:v>
                </c:pt>
                <c:pt idx="8">
                  <c:v>562</c:v>
                </c:pt>
                <c:pt idx="9">
                  <c:v>730</c:v>
                </c:pt>
                <c:pt idx="10">
                  <c:v>#N/A</c:v>
                </c:pt>
              </c:numCache>
            </c:numRef>
          </c:xVal>
          <c:yVal>
            <c:numRef>
              <c:f>'LA-REF'!$S$7:$S$17</c:f>
              <c:numCache>
                <c:formatCode>0.00</c:formatCode>
                <c:ptCount val="11"/>
                <c:pt idx="0">
                  <c:v>0</c:v>
                </c:pt>
                <c:pt idx="1">
                  <c:v>7.7063431802377361E-2</c:v>
                </c:pt>
                <c:pt idx="2">
                  <c:v>0.18721512482405958</c:v>
                </c:pt>
                <c:pt idx="3">
                  <c:v>0.26937948572426967</c:v>
                </c:pt>
                <c:pt idx="4">
                  <c:v>0.35083467009735808</c:v>
                </c:pt>
                <c:pt idx="5">
                  <c:v>0.54074202241265024</c:v>
                </c:pt>
                <c:pt idx="6">
                  <c:v>1.0772830164311911</c:v>
                </c:pt>
                <c:pt idx="7">
                  <c:v>1.1119821673702135</c:v>
                </c:pt>
                <c:pt idx="8">
                  <c:v>1.2048998290786519</c:v>
                </c:pt>
                <c:pt idx="9">
                  <c:v>1.1532118588535885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4AD-446F-9C99-B9AE49B4347E}"/>
            </c:ext>
          </c:extLst>
        </c:ser>
        <c:ser>
          <c:idx val="4"/>
          <c:order val="1"/>
          <c:tx>
            <c:v>HA-Ref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'HA-REF'!$B$7:$B$17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29</c:v>
                </c:pt>
                <c:pt idx="3">
                  <c:v>57</c:v>
                </c:pt>
                <c:pt idx="4">
                  <c:v>91</c:v>
                </c:pt>
                <c:pt idx="5">
                  <c:v>199</c:v>
                </c:pt>
                <c:pt idx="6">
                  <c:v>373</c:v>
                </c:pt>
                <c:pt idx="7">
                  <c:v>464</c:v>
                </c:pt>
                <c:pt idx="8">
                  <c:v>562</c:v>
                </c:pt>
                <c:pt idx="9">
                  <c:v>730</c:v>
                </c:pt>
                <c:pt idx="10">
                  <c:v>#N/A</c:v>
                </c:pt>
              </c:numCache>
            </c:numRef>
          </c:xVal>
          <c:yVal>
            <c:numRef>
              <c:f>'HA-REF'!$S$7:$S$17</c:f>
              <c:numCache>
                <c:formatCode>0.00</c:formatCode>
                <c:ptCount val="11"/>
                <c:pt idx="0">
                  <c:v>0</c:v>
                </c:pt>
                <c:pt idx="1">
                  <c:v>9.082105974781407E-2</c:v>
                </c:pt>
                <c:pt idx="2">
                  <c:v>0.24525991814718839</c:v>
                </c:pt>
                <c:pt idx="3">
                  <c:v>0.35515974909347614</c:v>
                </c:pt>
                <c:pt idx="4">
                  <c:v>0.47306884567780733</c:v>
                </c:pt>
                <c:pt idx="5">
                  <c:v>0.76283133214941412</c:v>
                </c:pt>
                <c:pt idx="6">
                  <c:v>1.354592523777334</c:v>
                </c:pt>
                <c:pt idx="7">
                  <c:v>1.4242534055007583</c:v>
                </c:pt>
                <c:pt idx="8">
                  <c:v>1.4242070890151277</c:v>
                </c:pt>
                <c:pt idx="9">
                  <c:v>1.3197220904694882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4AD-446F-9C99-B9AE49B4347E}"/>
            </c:ext>
          </c:extLst>
        </c:ser>
        <c:ser>
          <c:idx val="9"/>
          <c:order val="2"/>
          <c:tx>
            <c:v>HA-SSA</c:v>
          </c:tx>
          <c:spPr>
            <a:ln w="63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'HA-SSA'!$B$7:$B$17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28</c:v>
                </c:pt>
                <c:pt idx="3">
                  <c:v>56</c:v>
                </c:pt>
                <c:pt idx="4">
                  <c:v>83</c:v>
                </c:pt>
                <c:pt idx="5">
                  <c:v>191</c:v>
                </c:pt>
                <c:pt idx="6">
                  <c:v>365</c:v>
                </c:pt>
                <c:pt idx="7">
                  <c:v>456</c:v>
                </c:pt>
                <c:pt idx="8">
                  <c:v>554</c:v>
                </c:pt>
                <c:pt idx="9">
                  <c:v>722</c:v>
                </c:pt>
                <c:pt idx="10">
                  <c:v>#N/A</c:v>
                </c:pt>
              </c:numCache>
            </c:numRef>
          </c:xVal>
          <c:yVal>
            <c:numRef>
              <c:f>'HA-SSA'!$S$7:$S$17</c:f>
              <c:numCache>
                <c:formatCode>0.00</c:formatCode>
                <c:ptCount val="11"/>
                <c:pt idx="0">
                  <c:v>0</c:v>
                </c:pt>
                <c:pt idx="1">
                  <c:v>-3.2069808067695188E-2</c:v>
                </c:pt>
                <c:pt idx="2">
                  <c:v>6.9935595709443757E-2</c:v>
                </c:pt>
                <c:pt idx="3">
                  <c:v>0.11264724041653201</c:v>
                </c:pt>
                <c:pt idx="4">
                  <c:v>0.15076115347362501</c:v>
                </c:pt>
                <c:pt idx="5">
                  <c:v>0.29044928251830254</c:v>
                </c:pt>
                <c:pt idx="6">
                  <c:v>0.51981006998634571</c:v>
                </c:pt>
                <c:pt idx="7">
                  <c:v>0.60792386629237238</c:v>
                </c:pt>
                <c:pt idx="8">
                  <c:v>0.660857363565857</c:v>
                </c:pt>
                <c:pt idx="9">
                  <c:v>0.66082071470802384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4AD-446F-9C99-B9AE49B4347E}"/>
            </c:ext>
          </c:extLst>
        </c:ser>
        <c:ser>
          <c:idx val="2"/>
          <c:order val="3"/>
          <c:tx>
            <c:v>LA-BA1</c:v>
          </c:tx>
          <c:spPr>
            <a:ln w="635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'LA-BA1'!$B$7:$B$17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27</c:v>
                </c:pt>
                <c:pt idx="3">
                  <c:v>55</c:v>
                </c:pt>
                <c:pt idx="4">
                  <c:v>89</c:v>
                </c:pt>
                <c:pt idx="5">
                  <c:v>197</c:v>
                </c:pt>
                <c:pt idx="6">
                  <c:v>371</c:v>
                </c:pt>
                <c:pt idx="7">
                  <c:v>462</c:v>
                </c:pt>
                <c:pt idx="8">
                  <c:v>560</c:v>
                </c:pt>
                <c:pt idx="9">
                  <c:v>728</c:v>
                </c:pt>
                <c:pt idx="10">
                  <c:v>#N/A</c:v>
                </c:pt>
              </c:numCache>
            </c:numRef>
          </c:xVal>
          <c:yVal>
            <c:numRef>
              <c:f>'LA-BA1'!$S$7:$S$17</c:f>
              <c:numCache>
                <c:formatCode>0.00</c:formatCode>
                <c:ptCount val="11"/>
                <c:pt idx="0">
                  <c:v>0</c:v>
                </c:pt>
                <c:pt idx="1">
                  <c:v>-4.2799397878509927E-2</c:v>
                </c:pt>
                <c:pt idx="2">
                  <c:v>5.5107651973262194E-2</c:v>
                </c:pt>
                <c:pt idx="3">
                  <c:v>0.16402340792401016</c:v>
                </c:pt>
                <c:pt idx="4">
                  <c:v>0.26130660579224912</c:v>
                </c:pt>
                <c:pt idx="5">
                  <c:v>0.43719169586770873</c:v>
                </c:pt>
                <c:pt idx="6">
                  <c:v>1.1091500338126739</c:v>
                </c:pt>
                <c:pt idx="7">
                  <c:v>1.1621889038948574</c:v>
                </c:pt>
                <c:pt idx="8">
                  <c:v>1.2681838560102132</c:v>
                </c:pt>
                <c:pt idx="9">
                  <c:v>1.1976513989789657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AD-446F-9C99-B9AE49B4347E}"/>
            </c:ext>
          </c:extLst>
        </c:ser>
        <c:ser>
          <c:idx val="5"/>
          <c:order val="4"/>
          <c:tx>
            <c:v>HA-CC1</c:v>
          </c:tx>
          <c:spPr>
            <a:ln w="6350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'HA-CC1'!$B$7:$B$17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29</c:v>
                </c:pt>
                <c:pt idx="3">
                  <c:v>57</c:v>
                </c:pt>
                <c:pt idx="4">
                  <c:v>84</c:v>
                </c:pt>
                <c:pt idx="5">
                  <c:v>192</c:v>
                </c:pt>
                <c:pt idx="6">
                  <c:v>366</c:v>
                </c:pt>
                <c:pt idx="7">
                  <c:v>457</c:v>
                </c:pt>
                <c:pt idx="8">
                  <c:v>555</c:v>
                </c:pt>
                <c:pt idx="9">
                  <c:v>723</c:v>
                </c:pt>
                <c:pt idx="10">
                  <c:v>#N/A</c:v>
                </c:pt>
              </c:numCache>
            </c:numRef>
          </c:xVal>
          <c:yVal>
            <c:numRef>
              <c:f>'HA-CC1'!$S$7:$S$17</c:f>
              <c:numCache>
                <c:formatCode>0.00</c:formatCode>
                <c:ptCount val="11"/>
                <c:pt idx="0">
                  <c:v>0</c:v>
                </c:pt>
                <c:pt idx="1">
                  <c:v>3.520932266920284E-2</c:v>
                </c:pt>
                <c:pt idx="2">
                  <c:v>0.12898809734403241</c:v>
                </c:pt>
                <c:pt idx="3">
                  <c:v>0.20521701513321164</c:v>
                </c:pt>
                <c:pt idx="4">
                  <c:v>0.2503730293171243</c:v>
                </c:pt>
                <c:pt idx="5">
                  <c:v>0.36249323566321062</c:v>
                </c:pt>
                <c:pt idx="6">
                  <c:v>0.52013134897336588</c:v>
                </c:pt>
                <c:pt idx="7">
                  <c:v>0.52013134897336588</c:v>
                </c:pt>
                <c:pt idx="8">
                  <c:v>0.64279457962239539</c:v>
                </c:pt>
                <c:pt idx="9">
                  <c:v>0.59016802939847179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4AD-446F-9C99-B9AE49B4347E}"/>
            </c:ext>
          </c:extLst>
        </c:ser>
        <c:ser>
          <c:idx val="8"/>
          <c:order val="5"/>
          <c:tx>
            <c:v>HA-CB</c:v>
          </c:tx>
          <c:spPr>
            <a:ln w="6350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'HA-CB'!$B$7:$B$17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28</c:v>
                </c:pt>
                <c:pt idx="3">
                  <c:v>56</c:v>
                </c:pt>
                <c:pt idx="4">
                  <c:v>83</c:v>
                </c:pt>
                <c:pt idx="5">
                  <c:v>191</c:v>
                </c:pt>
                <c:pt idx="6">
                  <c:v>365</c:v>
                </c:pt>
                <c:pt idx="7">
                  <c:v>456</c:v>
                </c:pt>
                <c:pt idx="8">
                  <c:v>554</c:v>
                </c:pt>
                <c:pt idx="9">
                  <c:v>722</c:v>
                </c:pt>
                <c:pt idx="10">
                  <c:v>#N/A</c:v>
                </c:pt>
              </c:numCache>
            </c:numRef>
          </c:xVal>
          <c:yVal>
            <c:numRef>
              <c:f>'HA-CB'!$S$7:$S$17</c:f>
              <c:numCache>
                <c:formatCode>0.00</c:formatCode>
                <c:ptCount val="11"/>
                <c:pt idx="0">
                  <c:v>0</c:v>
                </c:pt>
                <c:pt idx="1">
                  <c:v>-1.0573742508123906E-2</c:v>
                </c:pt>
                <c:pt idx="2">
                  <c:v>1.5163626005237322E-2</c:v>
                </c:pt>
                <c:pt idx="3">
                  <c:v>4.5861685576519352E-2</c:v>
                </c:pt>
                <c:pt idx="4">
                  <c:v>7.3026997223971338E-2</c:v>
                </c:pt>
                <c:pt idx="5">
                  <c:v>0.18589462324311304</c:v>
                </c:pt>
                <c:pt idx="6">
                  <c:v>0.45064304850602616</c:v>
                </c:pt>
                <c:pt idx="7">
                  <c:v>0.39748274741913053</c:v>
                </c:pt>
                <c:pt idx="8">
                  <c:v>0.53859184087582646</c:v>
                </c:pt>
                <c:pt idx="9">
                  <c:v>0.55614272087694971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4AD-446F-9C99-B9AE49B4347E}"/>
            </c:ext>
          </c:extLst>
        </c:ser>
        <c:ser>
          <c:idx val="1"/>
          <c:order val="6"/>
          <c:tx>
            <c:v>LA-BA2</c:v>
          </c:tx>
          <c:spPr>
            <a:ln w="635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'LA-BA2'!$B$7:$B$17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27</c:v>
                </c:pt>
                <c:pt idx="3">
                  <c:v>55</c:v>
                </c:pt>
                <c:pt idx="4">
                  <c:v>89</c:v>
                </c:pt>
                <c:pt idx="5">
                  <c:v>197</c:v>
                </c:pt>
                <c:pt idx="6">
                  <c:v>371</c:v>
                </c:pt>
                <c:pt idx="7">
                  <c:v>462</c:v>
                </c:pt>
                <c:pt idx="8">
                  <c:v>560</c:v>
                </c:pt>
                <c:pt idx="9">
                  <c:v>728</c:v>
                </c:pt>
                <c:pt idx="10">
                  <c:v>#N/A</c:v>
                </c:pt>
              </c:numCache>
            </c:numRef>
          </c:xVal>
          <c:yVal>
            <c:numRef>
              <c:f>'LA-BA2'!$S$7:$S$17</c:f>
              <c:numCache>
                <c:formatCode>0.00</c:formatCode>
                <c:ptCount val="11"/>
                <c:pt idx="0">
                  <c:v>0</c:v>
                </c:pt>
                <c:pt idx="1">
                  <c:v>3.7603235016542329E-2</c:v>
                </c:pt>
                <c:pt idx="2">
                  <c:v>0.25912801743144859</c:v>
                </c:pt>
                <c:pt idx="3">
                  <c:v>0.41601471096316517</c:v>
                </c:pt>
                <c:pt idx="4">
                  <c:v>0.53779477554881394</c:v>
                </c:pt>
                <c:pt idx="5">
                  <c:v>0.7268832579601695</c:v>
                </c:pt>
                <c:pt idx="6">
                  <c:v>1.1286503278844995</c:v>
                </c:pt>
                <c:pt idx="7">
                  <c:v>1.2685604004479754</c:v>
                </c:pt>
                <c:pt idx="8">
                  <c:v>1.3557137013689144</c:v>
                </c:pt>
                <c:pt idx="9">
                  <c:v>1.4254852503483117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4AD-446F-9C99-B9AE49B4347E}"/>
            </c:ext>
          </c:extLst>
        </c:ser>
        <c:ser>
          <c:idx val="7"/>
          <c:order val="7"/>
          <c:tx>
            <c:v>HA-FA</c:v>
          </c:tx>
          <c:spPr>
            <a:ln w="63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'HA-FA'!$B$7:$B$17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27</c:v>
                </c:pt>
                <c:pt idx="3">
                  <c:v>55</c:v>
                </c:pt>
                <c:pt idx="4">
                  <c:v>82</c:v>
                </c:pt>
                <c:pt idx="5">
                  <c:v>190</c:v>
                </c:pt>
                <c:pt idx="6">
                  <c:v>364</c:v>
                </c:pt>
                <c:pt idx="7">
                  <c:v>455</c:v>
                </c:pt>
                <c:pt idx="8">
                  <c:v>553</c:v>
                </c:pt>
                <c:pt idx="9">
                  <c:v>721</c:v>
                </c:pt>
                <c:pt idx="10">
                  <c:v>#N/A</c:v>
                </c:pt>
              </c:numCache>
            </c:numRef>
          </c:xVal>
          <c:yVal>
            <c:numRef>
              <c:f>'HA-FA'!$S$7:$S$17</c:f>
              <c:numCache>
                <c:formatCode>0.00</c:formatCode>
                <c:ptCount val="11"/>
                <c:pt idx="0">
                  <c:v>0</c:v>
                </c:pt>
                <c:pt idx="1">
                  <c:v>-2.1227591892704633E-2</c:v>
                </c:pt>
                <c:pt idx="2">
                  <c:v>3.8521562684019953E-3</c:v>
                </c:pt>
                <c:pt idx="3">
                  <c:v>2.963801422180691E-2</c:v>
                </c:pt>
                <c:pt idx="4">
                  <c:v>4.9071872552704364E-2</c:v>
                </c:pt>
                <c:pt idx="5">
                  <c:v>0.10311980556516565</c:v>
                </c:pt>
                <c:pt idx="6">
                  <c:v>0.2797375489177763</c:v>
                </c:pt>
                <c:pt idx="7">
                  <c:v>0.36820683914276725</c:v>
                </c:pt>
                <c:pt idx="8">
                  <c:v>0.43884193978223324</c:v>
                </c:pt>
                <c:pt idx="9">
                  <c:v>0.43877597925779499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4AD-446F-9C99-B9AE49B4347E}"/>
            </c:ext>
          </c:extLst>
        </c:ser>
        <c:ser>
          <c:idx val="6"/>
          <c:order val="8"/>
          <c:tx>
            <c:v>HA-CC2</c:v>
          </c:tx>
          <c:spPr>
            <a:ln w="63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'HA-CC2'!$B$7:$B$17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29</c:v>
                </c:pt>
                <c:pt idx="3">
                  <c:v>57</c:v>
                </c:pt>
                <c:pt idx="4">
                  <c:v>84</c:v>
                </c:pt>
                <c:pt idx="5">
                  <c:v>192</c:v>
                </c:pt>
                <c:pt idx="6">
                  <c:v>366</c:v>
                </c:pt>
                <c:pt idx="7">
                  <c:v>457</c:v>
                </c:pt>
                <c:pt idx="8">
                  <c:v>555</c:v>
                </c:pt>
                <c:pt idx="9">
                  <c:v>723</c:v>
                </c:pt>
                <c:pt idx="10">
                  <c:v>#N/A</c:v>
                </c:pt>
              </c:numCache>
            </c:numRef>
          </c:xVal>
          <c:yVal>
            <c:numRef>
              <c:f>'HA-CC2'!$S$7:$S$17</c:f>
              <c:numCache>
                <c:formatCode>0.00</c:formatCode>
                <c:ptCount val="11"/>
                <c:pt idx="0">
                  <c:v>0</c:v>
                </c:pt>
                <c:pt idx="1">
                  <c:v>2.0275427875936541E-2</c:v>
                </c:pt>
                <c:pt idx="2">
                  <c:v>8.3663832189015311E-2</c:v>
                </c:pt>
                <c:pt idx="3">
                  <c:v>0.12042210438418559</c:v>
                </c:pt>
                <c:pt idx="4">
                  <c:v>0.15580193001999967</c:v>
                </c:pt>
                <c:pt idx="5">
                  <c:v>0.27966912562663948</c:v>
                </c:pt>
                <c:pt idx="6">
                  <c:v>0.38473129528311562</c:v>
                </c:pt>
                <c:pt idx="7">
                  <c:v>0.48979346493959164</c:v>
                </c:pt>
                <c:pt idx="8">
                  <c:v>0.55988689609729925</c:v>
                </c:pt>
                <c:pt idx="9">
                  <c:v>0.54215415486790597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4AD-446F-9C99-B9AE49B4347E}"/>
            </c:ext>
          </c:extLst>
        </c:ser>
        <c:ser>
          <c:idx val="3"/>
          <c:order val="9"/>
          <c:tx>
            <c:v>LA-GB</c:v>
          </c:tx>
          <c:spPr>
            <a:ln w="63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'LA-GB'!$B$7:$B$17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27</c:v>
                </c:pt>
                <c:pt idx="3">
                  <c:v>55</c:v>
                </c:pt>
                <c:pt idx="4">
                  <c:v>82</c:v>
                </c:pt>
                <c:pt idx="5">
                  <c:v>190</c:v>
                </c:pt>
                <c:pt idx="6">
                  <c:v>364</c:v>
                </c:pt>
                <c:pt idx="7">
                  <c:v>455</c:v>
                </c:pt>
                <c:pt idx="8">
                  <c:v>553</c:v>
                </c:pt>
                <c:pt idx="9">
                  <c:v>721</c:v>
                </c:pt>
                <c:pt idx="10">
                  <c:v>#N/A</c:v>
                </c:pt>
              </c:numCache>
            </c:numRef>
          </c:xVal>
          <c:yVal>
            <c:numRef>
              <c:f>'LA-GB'!$S$7:$S$17</c:f>
              <c:numCache>
                <c:formatCode>0.00</c:formatCode>
                <c:ptCount val="11"/>
                <c:pt idx="0">
                  <c:v>0</c:v>
                </c:pt>
                <c:pt idx="1">
                  <c:v>-6.3996550068973382E-2</c:v>
                </c:pt>
                <c:pt idx="2">
                  <c:v>-5.8006568694674222E-2</c:v>
                </c:pt>
                <c:pt idx="3">
                  <c:v>-2.870127847001093E-2</c:v>
                </c:pt>
                <c:pt idx="4">
                  <c:v>-1.8529326850526852E-3</c:v>
                </c:pt>
                <c:pt idx="5">
                  <c:v>0.23698830219323452</c:v>
                </c:pt>
                <c:pt idx="6">
                  <c:v>0.78505460451054176</c:v>
                </c:pt>
                <c:pt idx="7">
                  <c:v>0.69671484700359831</c:v>
                </c:pt>
                <c:pt idx="8">
                  <c:v>0.92653101945966287</c:v>
                </c:pt>
                <c:pt idx="9">
                  <c:v>0.83775912579141776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4AD-446F-9C99-B9AE49B434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159216"/>
        <c:axId val="977154296"/>
        <c:extLst/>
      </c:scatterChart>
      <c:valAx>
        <c:axId val="977159216"/>
        <c:scaling>
          <c:orientation val="minMax"/>
          <c:max val="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 [days]</a:t>
                </a:r>
              </a:p>
            </c:rich>
          </c:tx>
          <c:layout>
            <c:manualLayout>
              <c:xMode val="edge"/>
              <c:yMode val="edge"/>
              <c:x val="0.48016736111111114"/>
              <c:y val="0.95131388888888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a-DK"/>
            </a:p>
          </c:txPr>
        </c:title>
        <c:numFmt formatCode="General" sourceLinked="1"/>
        <c:majorTickMark val="cross"/>
        <c:minorTickMark val="none"/>
        <c:tickLblPos val="low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a-DK"/>
          </a:p>
        </c:txPr>
        <c:crossAx val="977154296"/>
        <c:crosses val="autoZero"/>
        <c:crossBetween val="midCat"/>
      </c:valAx>
      <c:valAx>
        <c:axId val="9771542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Mass gain [%]</a:t>
                </a:r>
              </a:p>
            </c:rich>
          </c:tx>
          <c:layout>
            <c:manualLayout>
              <c:xMode val="edge"/>
              <c:yMode val="edge"/>
              <c:x val="7.45E-3"/>
              <c:y val="0.359578703703703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a-DK"/>
            </a:p>
          </c:txPr>
        </c:title>
        <c:numFmt formatCode="0.0" sourceLinked="0"/>
        <c:majorTickMark val="cross"/>
        <c:minorTickMark val="none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a-DK"/>
          </a:p>
        </c:txPr>
        <c:crossAx val="977159216"/>
        <c:crosses val="autoZero"/>
        <c:crossBetween val="midCat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824694396735229E-2"/>
          <c:y val="8.944197530864198E-2"/>
          <c:w val="0.84927669900552627"/>
          <c:h val="0.79049907407407394"/>
        </c:manualLayout>
      </c:layout>
      <c:scatterChart>
        <c:scatterStyle val="lineMarker"/>
        <c:varyColors val="0"/>
        <c:ser>
          <c:idx val="0"/>
          <c:order val="0"/>
          <c:tx>
            <c:v>LA-Ref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'LA-REF'!$B$24:$B$33</c:f>
              <c:numCache>
                <c:formatCode>General</c:formatCode>
                <c:ptCount val="10"/>
                <c:pt idx="0">
                  <c:v>0</c:v>
                </c:pt>
                <c:pt idx="1">
                  <c:v>29</c:v>
                </c:pt>
                <c:pt idx="2">
                  <c:v>57</c:v>
                </c:pt>
                <c:pt idx="3">
                  <c:v>91</c:v>
                </c:pt>
                <c:pt idx="4">
                  <c:v>199</c:v>
                </c:pt>
                <c:pt idx="5">
                  <c:v>373</c:v>
                </c:pt>
                <c:pt idx="6">
                  <c:v>464</c:v>
                </c:pt>
                <c:pt idx="7">
                  <c:v>562</c:v>
                </c:pt>
                <c:pt idx="8">
                  <c:v>730</c:v>
                </c:pt>
                <c:pt idx="9">
                  <c:v>#N/A</c:v>
                </c:pt>
              </c:numCache>
            </c:numRef>
          </c:xVal>
          <c:yVal>
            <c:numRef>
              <c:f>'LA-REF'!$T$24:$T$33</c:f>
              <c:numCache>
                <c:formatCode>0.00</c:formatCode>
                <c:ptCount val="10"/>
                <c:pt idx="0">
                  <c:v>0</c:v>
                </c:pt>
                <c:pt idx="1">
                  <c:v>1.6955956332518143E-3</c:v>
                </c:pt>
                <c:pt idx="2">
                  <c:v>2.4549124170753132E-3</c:v>
                </c:pt>
                <c:pt idx="3">
                  <c:v>3.7811505911177802E-3</c:v>
                </c:pt>
                <c:pt idx="4">
                  <c:v>2.0316959100553679E-2</c:v>
                </c:pt>
                <c:pt idx="5">
                  <c:v>4.6888467752646337E-2</c:v>
                </c:pt>
                <c:pt idx="6">
                  <c:v>0.11320598505519996</c:v>
                </c:pt>
                <c:pt idx="7">
                  <c:v>0.13195807218305861</c:v>
                </c:pt>
                <c:pt idx="8">
                  <c:v>0.28504998572365753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B9-4E09-8229-E5EEE9948A50}"/>
            </c:ext>
          </c:extLst>
        </c:ser>
        <c:ser>
          <c:idx val="4"/>
          <c:order val="1"/>
          <c:tx>
            <c:v>HA-Ref</c:v>
          </c:tx>
          <c:spPr>
            <a:ln w="63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'HA-REF'!$B$24:$B$33</c:f>
              <c:numCache>
                <c:formatCode>General</c:formatCode>
                <c:ptCount val="10"/>
                <c:pt idx="0">
                  <c:v>0</c:v>
                </c:pt>
                <c:pt idx="1">
                  <c:v>29</c:v>
                </c:pt>
                <c:pt idx="2">
                  <c:v>57</c:v>
                </c:pt>
                <c:pt idx="3">
                  <c:v>91</c:v>
                </c:pt>
                <c:pt idx="4">
                  <c:v>199</c:v>
                </c:pt>
                <c:pt idx="5">
                  <c:v>373</c:v>
                </c:pt>
                <c:pt idx="6">
                  <c:v>464</c:v>
                </c:pt>
                <c:pt idx="7">
                  <c:v>562</c:v>
                </c:pt>
                <c:pt idx="8">
                  <c:v>730</c:v>
                </c:pt>
                <c:pt idx="9">
                  <c:v>#N/A</c:v>
                </c:pt>
              </c:numCache>
            </c:numRef>
          </c:xVal>
          <c:yVal>
            <c:numRef>
              <c:f>'HA-REF'!$T$24:$T$33</c:f>
              <c:numCache>
                <c:formatCode>0.00</c:formatCode>
                <c:ptCount val="10"/>
                <c:pt idx="0">
                  <c:v>0</c:v>
                </c:pt>
                <c:pt idx="1">
                  <c:v>1.3695374149402931E-2</c:v>
                </c:pt>
                <c:pt idx="2">
                  <c:v>2.2687662298310013E-2</c:v>
                </c:pt>
                <c:pt idx="3">
                  <c:v>2.7692868692687611E-2</c:v>
                </c:pt>
                <c:pt idx="4">
                  <c:v>4.8832227074563486E-2</c:v>
                </c:pt>
                <c:pt idx="5">
                  <c:v>0.22553298469989305</c:v>
                </c:pt>
                <c:pt idx="6">
                  <c:v>0.37388843631565827</c:v>
                </c:pt>
                <c:pt idx="7">
                  <c:v>0.42633119787529372</c:v>
                </c:pt>
                <c:pt idx="8">
                  <c:v>0.54276465450795175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DB9-4E09-8229-E5EEE9948A50}"/>
            </c:ext>
          </c:extLst>
        </c:ser>
        <c:ser>
          <c:idx val="9"/>
          <c:order val="2"/>
          <c:tx>
            <c:v>HA-SSA</c:v>
          </c:tx>
          <c:spPr>
            <a:ln w="635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'HA-SSA'!$B$24:$B$33</c:f>
              <c:numCache>
                <c:formatCode>General</c:formatCode>
                <c:ptCount val="10"/>
                <c:pt idx="0">
                  <c:v>0</c:v>
                </c:pt>
                <c:pt idx="1">
                  <c:v>28</c:v>
                </c:pt>
                <c:pt idx="2">
                  <c:v>56</c:v>
                </c:pt>
                <c:pt idx="3">
                  <c:v>83</c:v>
                </c:pt>
                <c:pt idx="4">
                  <c:v>191</c:v>
                </c:pt>
                <c:pt idx="5">
                  <c:v>365</c:v>
                </c:pt>
                <c:pt idx="6">
                  <c:v>456</c:v>
                </c:pt>
                <c:pt idx="7">
                  <c:v>554</c:v>
                </c:pt>
                <c:pt idx="8">
                  <c:v>722</c:v>
                </c:pt>
                <c:pt idx="9">
                  <c:v>#N/A</c:v>
                </c:pt>
              </c:numCache>
            </c:numRef>
          </c:xVal>
          <c:yVal>
            <c:numRef>
              <c:f>'HA-SSA'!$T$24:$T$33</c:f>
              <c:numCache>
                <c:formatCode>0.00</c:formatCode>
                <c:ptCount val="10"/>
                <c:pt idx="0">
                  <c:v>0</c:v>
                </c:pt>
                <c:pt idx="1">
                  <c:v>9.5020705709342127E-3</c:v>
                </c:pt>
                <c:pt idx="2">
                  <c:v>1.3731531112783022E-2</c:v>
                </c:pt>
                <c:pt idx="3">
                  <c:v>1.686558547796017E-2</c:v>
                </c:pt>
                <c:pt idx="4">
                  <c:v>2.2380426343859453E-2</c:v>
                </c:pt>
                <c:pt idx="5">
                  <c:v>0.15400470122184887</c:v>
                </c:pt>
                <c:pt idx="6">
                  <c:v>0.20835447969683266</c:v>
                </c:pt>
                <c:pt idx="7">
                  <c:v>0.189569200255225</c:v>
                </c:pt>
                <c:pt idx="8">
                  <c:v>0.27807107550667454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DB9-4E09-8229-E5EEE9948A50}"/>
            </c:ext>
          </c:extLst>
        </c:ser>
        <c:ser>
          <c:idx val="2"/>
          <c:order val="3"/>
          <c:tx>
            <c:v>LA-BA1</c:v>
          </c:tx>
          <c:spPr>
            <a:ln w="63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squar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'LA-BA1'!$B$24:$B$33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55</c:v>
                </c:pt>
                <c:pt idx="3">
                  <c:v>89</c:v>
                </c:pt>
                <c:pt idx="4">
                  <c:v>197</c:v>
                </c:pt>
                <c:pt idx="5">
                  <c:v>371</c:v>
                </c:pt>
                <c:pt idx="6">
                  <c:v>462</c:v>
                </c:pt>
                <c:pt idx="7">
                  <c:v>560</c:v>
                </c:pt>
                <c:pt idx="8">
                  <c:v>728</c:v>
                </c:pt>
                <c:pt idx="9">
                  <c:v>#N/A</c:v>
                </c:pt>
              </c:numCache>
            </c:numRef>
          </c:xVal>
          <c:yVal>
            <c:numRef>
              <c:f>'LA-BA1'!$T$24:$T$33</c:f>
              <c:numCache>
                <c:formatCode>0.00</c:formatCode>
                <c:ptCount val="10"/>
                <c:pt idx="0">
                  <c:v>0</c:v>
                </c:pt>
                <c:pt idx="1">
                  <c:v>8.0302536935438346E-3</c:v>
                </c:pt>
                <c:pt idx="2">
                  <c:v>1.8055056291808223E-2</c:v>
                </c:pt>
                <c:pt idx="3">
                  <c:v>2.728822213598589E-2</c:v>
                </c:pt>
                <c:pt idx="4">
                  <c:v>5.0974702619527745E-2</c:v>
                </c:pt>
                <c:pt idx="5">
                  <c:v>0.17796870767950174</c:v>
                </c:pt>
                <c:pt idx="6">
                  <c:v>0.37363466879279095</c:v>
                </c:pt>
                <c:pt idx="7">
                  <c:v>0.39066572711211256</c:v>
                </c:pt>
                <c:pt idx="8">
                  <c:v>0.46078795756389612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B9-4E09-8229-E5EEE9948A50}"/>
            </c:ext>
          </c:extLst>
        </c:ser>
        <c:ser>
          <c:idx val="5"/>
          <c:order val="4"/>
          <c:tx>
            <c:v>HA-CC1</c:v>
          </c:tx>
          <c:spPr>
            <a:ln w="6350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'HA-CC1'!$B$24:$B$33</c:f>
              <c:numCache>
                <c:formatCode>General</c:formatCode>
                <c:ptCount val="10"/>
                <c:pt idx="0">
                  <c:v>0</c:v>
                </c:pt>
                <c:pt idx="1">
                  <c:v>29</c:v>
                </c:pt>
                <c:pt idx="2">
                  <c:v>57</c:v>
                </c:pt>
                <c:pt idx="3">
                  <c:v>84</c:v>
                </c:pt>
                <c:pt idx="4">
                  <c:v>192</c:v>
                </c:pt>
                <c:pt idx="5">
                  <c:v>366</c:v>
                </c:pt>
                <c:pt idx="6">
                  <c:v>457</c:v>
                </c:pt>
                <c:pt idx="7">
                  <c:v>555</c:v>
                </c:pt>
                <c:pt idx="8">
                  <c:v>723</c:v>
                </c:pt>
                <c:pt idx="9">
                  <c:v>#N/A</c:v>
                </c:pt>
              </c:numCache>
            </c:numRef>
          </c:xVal>
          <c:yVal>
            <c:numRef>
              <c:f>'HA-CC1'!$T$24:$T$33</c:f>
              <c:numCache>
                <c:formatCode>0.00</c:formatCode>
                <c:ptCount val="10"/>
                <c:pt idx="0">
                  <c:v>0</c:v>
                </c:pt>
                <c:pt idx="1">
                  <c:v>4.1931991072200652E-3</c:v>
                </c:pt>
                <c:pt idx="2">
                  <c:v>6.1963914074226025E-3</c:v>
                </c:pt>
                <c:pt idx="3">
                  <c:v>6.9688223567429845E-3</c:v>
                </c:pt>
                <c:pt idx="4">
                  <c:v>1.0363478554079536E-2</c:v>
                </c:pt>
                <c:pt idx="5">
                  <c:v>#N/A</c:v>
                </c:pt>
                <c:pt idx="6">
                  <c:v>1.928285203170306E-2</c:v>
                </c:pt>
                <c:pt idx="7">
                  <c:v>2.5279641987366996E-2</c:v>
                </c:pt>
                <c:pt idx="8">
                  <c:v>2.5740233555665428E-2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DB9-4E09-8229-E5EEE9948A50}"/>
            </c:ext>
          </c:extLst>
        </c:ser>
        <c:ser>
          <c:idx val="8"/>
          <c:order val="5"/>
          <c:tx>
            <c:v>HA-CB</c:v>
          </c:tx>
          <c:spPr>
            <a:ln w="6350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'HA-CB'!$B$24:$B$33</c:f>
              <c:numCache>
                <c:formatCode>General</c:formatCode>
                <c:ptCount val="10"/>
                <c:pt idx="0">
                  <c:v>0</c:v>
                </c:pt>
                <c:pt idx="1">
                  <c:v>28</c:v>
                </c:pt>
                <c:pt idx="2">
                  <c:v>56</c:v>
                </c:pt>
                <c:pt idx="3">
                  <c:v>83</c:v>
                </c:pt>
                <c:pt idx="4">
                  <c:v>191</c:v>
                </c:pt>
                <c:pt idx="5">
                  <c:v>365</c:v>
                </c:pt>
                <c:pt idx="6">
                  <c:v>456</c:v>
                </c:pt>
                <c:pt idx="7">
                  <c:v>554</c:v>
                </c:pt>
                <c:pt idx="8">
                  <c:v>722</c:v>
                </c:pt>
                <c:pt idx="9">
                  <c:v>#N/A</c:v>
                </c:pt>
              </c:numCache>
            </c:numRef>
          </c:xVal>
          <c:yVal>
            <c:numRef>
              <c:f>'HA-CB'!$T$24:$T$33</c:f>
              <c:numCache>
                <c:formatCode>0.00</c:formatCode>
                <c:ptCount val="10"/>
                <c:pt idx="0">
                  <c:v>0</c:v>
                </c:pt>
                <c:pt idx="1">
                  <c:v>3.2816019587368224E-3</c:v>
                </c:pt>
                <c:pt idx="2">
                  <c:v>4.2379473485974041E-3</c:v>
                </c:pt>
                <c:pt idx="3">
                  <c:v>5.6110225055413313E-3</c:v>
                </c:pt>
                <c:pt idx="4">
                  <c:v>9.646778835680582E-3</c:v>
                </c:pt>
                <c:pt idx="5">
                  <c:v>6.3580087460420515E-2</c:v>
                </c:pt>
                <c:pt idx="6">
                  <c:v>6.328267155491038E-2</c:v>
                </c:pt>
                <c:pt idx="7">
                  <c:v>8.3646783242483758E-2</c:v>
                </c:pt>
                <c:pt idx="8">
                  <c:v>0.13561168933669926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DB9-4E09-8229-E5EEE9948A50}"/>
            </c:ext>
          </c:extLst>
        </c:ser>
        <c:ser>
          <c:idx val="1"/>
          <c:order val="6"/>
          <c:tx>
            <c:v>LA-BA2</c:v>
          </c:tx>
          <c:spPr>
            <a:ln w="63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'LA-BA2'!$B$24:$B$33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55</c:v>
                </c:pt>
                <c:pt idx="3">
                  <c:v>89</c:v>
                </c:pt>
                <c:pt idx="4">
                  <c:v>197</c:v>
                </c:pt>
                <c:pt idx="5">
                  <c:v>371</c:v>
                </c:pt>
                <c:pt idx="6">
                  <c:v>462</c:v>
                </c:pt>
                <c:pt idx="7">
                  <c:v>560</c:v>
                </c:pt>
                <c:pt idx="8">
                  <c:v>728</c:v>
                </c:pt>
                <c:pt idx="9">
                  <c:v>#N/A</c:v>
                </c:pt>
              </c:numCache>
            </c:numRef>
          </c:xVal>
          <c:yVal>
            <c:numRef>
              <c:f>'LA-BA2'!$T$24:$T$33</c:f>
              <c:numCache>
                <c:formatCode>0.00</c:formatCode>
                <c:ptCount val="10"/>
                <c:pt idx="0">
                  <c:v>0</c:v>
                </c:pt>
                <c:pt idx="1">
                  <c:v>2.9149009898911237E-2</c:v>
                </c:pt>
                <c:pt idx="2">
                  <c:v>4.5753000689751432E-2</c:v>
                </c:pt>
                <c:pt idx="3">
                  <c:v>6.698561234516609E-2</c:v>
                </c:pt>
                <c:pt idx="4">
                  <c:v>0.12024970798043007</c:v>
                </c:pt>
                <c:pt idx="5">
                  <c:v>0.29280442066522538</c:v>
                </c:pt>
                <c:pt idx="6">
                  <c:v>0.50540915312496559</c:v>
                </c:pt>
                <c:pt idx="7">
                  <c:v>0.57817007119056385</c:v>
                </c:pt>
                <c:pt idx="8">
                  <c:v>0.77592194566867168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B9-4E09-8229-E5EEE9948A50}"/>
            </c:ext>
          </c:extLst>
        </c:ser>
        <c:ser>
          <c:idx val="6"/>
          <c:order val="7"/>
          <c:tx>
            <c:v>HA-CC2</c:v>
          </c:tx>
          <c:spPr>
            <a:ln w="6350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'HA-CC2'!$B$24:$B$33</c:f>
              <c:numCache>
                <c:formatCode>General</c:formatCode>
                <c:ptCount val="10"/>
                <c:pt idx="0">
                  <c:v>0</c:v>
                </c:pt>
                <c:pt idx="1">
                  <c:v>29</c:v>
                </c:pt>
                <c:pt idx="2">
                  <c:v>57</c:v>
                </c:pt>
                <c:pt idx="3">
                  <c:v>84</c:v>
                </c:pt>
                <c:pt idx="4">
                  <c:v>192</c:v>
                </c:pt>
                <c:pt idx="5">
                  <c:v>366</c:v>
                </c:pt>
                <c:pt idx="6">
                  <c:v>457</c:v>
                </c:pt>
                <c:pt idx="7">
                  <c:v>555</c:v>
                </c:pt>
                <c:pt idx="8">
                  <c:v>723</c:v>
                </c:pt>
                <c:pt idx="9">
                  <c:v>#N/A</c:v>
                </c:pt>
              </c:numCache>
            </c:numRef>
          </c:xVal>
          <c:yVal>
            <c:numRef>
              <c:f>'HA-CC2'!$T$24:$T$33</c:f>
              <c:numCache>
                <c:formatCode>0.00</c:formatCode>
                <c:ptCount val="10"/>
                <c:pt idx="0">
                  <c:v>0</c:v>
                </c:pt>
                <c:pt idx="1">
                  <c:v>1.7230278759006676E-3</c:v>
                </c:pt>
                <c:pt idx="2">
                  <c:v>2.8598244408128992E-3</c:v>
                </c:pt>
                <c:pt idx="3">
                  <c:v>3.6225930704980591E-3</c:v>
                </c:pt>
                <c:pt idx="4">
                  <c:v>9.5209167410413957E-3</c:v>
                </c:pt>
                <c:pt idx="5">
                  <c:v>1.6963838509316858E-2</c:v>
                </c:pt>
                <c:pt idx="6">
                  <c:v>1.6872871991299145E-2</c:v>
                </c:pt>
                <c:pt idx="7">
                  <c:v>2.1934057832692276E-2</c:v>
                </c:pt>
                <c:pt idx="8">
                  <c:v>2.4717437799913599E-2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DB9-4E09-8229-E5EEE9948A50}"/>
            </c:ext>
          </c:extLst>
        </c:ser>
        <c:ser>
          <c:idx val="7"/>
          <c:order val="8"/>
          <c:tx>
            <c:v>HA-FA</c:v>
          </c:tx>
          <c:spPr>
            <a:ln w="63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'HA-FA'!$B$24:$B$33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55</c:v>
                </c:pt>
                <c:pt idx="3">
                  <c:v>82</c:v>
                </c:pt>
                <c:pt idx="4">
                  <c:v>190</c:v>
                </c:pt>
                <c:pt idx="5">
                  <c:v>364</c:v>
                </c:pt>
                <c:pt idx="6">
                  <c:v>455</c:v>
                </c:pt>
                <c:pt idx="7">
                  <c:v>553</c:v>
                </c:pt>
                <c:pt idx="8">
                  <c:v>721</c:v>
                </c:pt>
                <c:pt idx="9">
                  <c:v>#N/A</c:v>
                </c:pt>
              </c:numCache>
            </c:numRef>
          </c:xVal>
          <c:yVal>
            <c:numRef>
              <c:f>'HA-FA'!$T$24:$T$33</c:f>
              <c:numCache>
                <c:formatCode>0.00</c:formatCode>
                <c:ptCount val="10"/>
                <c:pt idx="0">
                  <c:v>0</c:v>
                </c:pt>
                <c:pt idx="1">
                  <c:v>2.0319002518084106E-3</c:v>
                </c:pt>
                <c:pt idx="2">
                  <c:v>2.3654342802447636E-3</c:v>
                </c:pt>
                <c:pt idx="3">
                  <c:v>3.0182454877214749E-3</c:v>
                </c:pt>
                <c:pt idx="4">
                  <c:v>5.5455401599694212E-3</c:v>
                </c:pt>
                <c:pt idx="5">
                  <c:v>1.3830448587605643E-2</c:v>
                </c:pt>
                <c:pt idx="6">
                  <c:v>2.1831717107056371E-2</c:v>
                </c:pt>
                <c:pt idx="7">
                  <c:v>3.2723584017219476E-2</c:v>
                </c:pt>
                <c:pt idx="8">
                  <c:v>4.5216921269307722E-2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7DB9-4E09-8229-E5EEE9948A50}"/>
            </c:ext>
          </c:extLst>
        </c:ser>
        <c:ser>
          <c:idx val="3"/>
          <c:order val="9"/>
          <c:tx>
            <c:v>LA-GB</c:v>
          </c:tx>
          <c:spPr>
            <a:ln w="6350" cap="rnd">
              <a:solidFill>
                <a:srgbClr val="00B0F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'LA-GB'!$B$24:$B$33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55</c:v>
                </c:pt>
                <c:pt idx="3">
                  <c:v>82</c:v>
                </c:pt>
                <c:pt idx="4">
                  <c:v>190</c:v>
                </c:pt>
                <c:pt idx="5">
                  <c:v>364</c:v>
                </c:pt>
                <c:pt idx="6">
                  <c:v>455</c:v>
                </c:pt>
                <c:pt idx="7">
                  <c:v>553</c:v>
                </c:pt>
                <c:pt idx="8">
                  <c:v>721</c:v>
                </c:pt>
                <c:pt idx="9">
                  <c:v>#N/A</c:v>
                </c:pt>
              </c:numCache>
            </c:numRef>
          </c:xVal>
          <c:yVal>
            <c:numRef>
              <c:f>'LA-GB'!$T$24:$T$33</c:f>
              <c:numCache>
                <c:formatCode>0.00</c:formatCode>
                <c:ptCount val="10"/>
                <c:pt idx="0">
                  <c:v>0</c:v>
                </c:pt>
                <c:pt idx="1">
                  <c:v>2.6455948711435039E-3</c:v>
                </c:pt>
                <c:pt idx="2">
                  <c:v>3.0587311197873678E-3</c:v>
                </c:pt>
                <c:pt idx="3">
                  <c:v>6.8473793925708445E-3</c:v>
                </c:pt>
                <c:pt idx="4">
                  <c:v>2.5183015737302444E-2</c:v>
                </c:pt>
                <c:pt idx="5">
                  <c:v>0.10369449406548498</c:v>
                </c:pt>
                <c:pt idx="6">
                  <c:v>0.10954852053216126</c:v>
                </c:pt>
                <c:pt idx="7">
                  <c:v>0.11467582770113344</c:v>
                </c:pt>
                <c:pt idx="8">
                  <c:v>0.12108324699249015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DB9-4E09-8229-E5EEE9948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159216"/>
        <c:axId val="977154296"/>
        <c:extLst/>
      </c:scatterChart>
      <c:valAx>
        <c:axId val="977159216"/>
        <c:scaling>
          <c:orientation val="minMax"/>
          <c:max val="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 [days]</a:t>
                </a:r>
              </a:p>
            </c:rich>
          </c:tx>
          <c:layout>
            <c:manualLayout>
              <c:xMode val="edge"/>
              <c:yMode val="edge"/>
              <c:x val="0.75167246138960331"/>
              <c:y val="0.948951543209876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a-DK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a-DK"/>
          </a:p>
        </c:txPr>
        <c:crossAx val="977154296"/>
        <c:crosses val="autoZero"/>
        <c:crossBetween val="midCat"/>
      </c:valAx>
      <c:valAx>
        <c:axId val="977154296"/>
        <c:scaling>
          <c:orientation val="minMax"/>
        </c:scaling>
        <c:delete val="0"/>
        <c:axPos val="l"/>
        <c:numFmt formatCode="0.0" sourceLinked="0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a-DK"/>
          </a:p>
        </c:txPr>
        <c:crossAx val="977159216"/>
        <c:crosses val="autoZero"/>
        <c:crossBetween val="midCat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38650584160599"/>
          <c:y val="8.944197530864198E-2"/>
          <c:w val="0.84272015080123563"/>
          <c:h val="0.78657932098765437"/>
        </c:manualLayout>
      </c:layout>
      <c:scatterChart>
        <c:scatterStyle val="lineMarker"/>
        <c:varyColors val="0"/>
        <c:ser>
          <c:idx val="0"/>
          <c:order val="0"/>
          <c:tx>
            <c:v>LA-Ref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'LA-REF'!$B$24:$B$33</c:f>
              <c:numCache>
                <c:formatCode>General</c:formatCode>
                <c:ptCount val="10"/>
                <c:pt idx="0">
                  <c:v>0</c:v>
                </c:pt>
                <c:pt idx="1">
                  <c:v>29</c:v>
                </c:pt>
                <c:pt idx="2">
                  <c:v>57</c:v>
                </c:pt>
                <c:pt idx="3">
                  <c:v>91</c:v>
                </c:pt>
                <c:pt idx="4">
                  <c:v>199</c:v>
                </c:pt>
                <c:pt idx="5">
                  <c:v>373</c:v>
                </c:pt>
                <c:pt idx="6">
                  <c:v>464</c:v>
                </c:pt>
                <c:pt idx="7">
                  <c:v>562</c:v>
                </c:pt>
                <c:pt idx="8">
                  <c:v>730</c:v>
                </c:pt>
                <c:pt idx="9">
                  <c:v>#N/A</c:v>
                </c:pt>
              </c:numCache>
            </c:numRef>
          </c:xVal>
          <c:yVal>
            <c:numRef>
              <c:f>'LA-REF'!$Q$24:$Q$33</c:f>
              <c:numCache>
                <c:formatCode>0.00</c:formatCode>
                <c:ptCount val="10"/>
                <c:pt idx="0">
                  <c:v>0</c:v>
                </c:pt>
                <c:pt idx="1">
                  <c:v>6.6437253279233638E-2</c:v>
                </c:pt>
                <c:pt idx="2">
                  <c:v>9.6188993904625417E-2</c:v>
                </c:pt>
                <c:pt idx="3">
                  <c:v>0.14815399059930739</c:v>
                </c:pt>
                <c:pt idx="4">
                  <c:v>0.79606418603394424</c:v>
                </c:pt>
                <c:pt idx="5">
                  <c:v>1.8371957009487718</c:v>
                </c:pt>
                <c:pt idx="6">
                  <c:v>4.4356652932713079</c:v>
                </c:pt>
                <c:pt idx="7">
                  <c:v>5.1704142732734182</c:v>
                </c:pt>
                <c:pt idx="8">
                  <c:v>11.168900018010415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51-43A7-9C48-DC5BA846466F}"/>
            </c:ext>
          </c:extLst>
        </c:ser>
        <c:ser>
          <c:idx val="4"/>
          <c:order val="1"/>
          <c:tx>
            <c:v>HA-Ref</c:v>
          </c:tx>
          <c:spPr>
            <a:ln w="63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'HA-REF'!$B$24:$B$33</c:f>
              <c:numCache>
                <c:formatCode>General</c:formatCode>
                <c:ptCount val="10"/>
                <c:pt idx="0">
                  <c:v>0</c:v>
                </c:pt>
                <c:pt idx="1">
                  <c:v>29</c:v>
                </c:pt>
                <c:pt idx="2">
                  <c:v>57</c:v>
                </c:pt>
                <c:pt idx="3">
                  <c:v>91</c:v>
                </c:pt>
                <c:pt idx="4">
                  <c:v>199</c:v>
                </c:pt>
                <c:pt idx="5">
                  <c:v>373</c:v>
                </c:pt>
                <c:pt idx="6">
                  <c:v>464</c:v>
                </c:pt>
                <c:pt idx="7">
                  <c:v>562</c:v>
                </c:pt>
                <c:pt idx="8">
                  <c:v>730</c:v>
                </c:pt>
                <c:pt idx="9">
                  <c:v>#N/A</c:v>
                </c:pt>
              </c:numCache>
            </c:numRef>
          </c:xVal>
          <c:yVal>
            <c:numRef>
              <c:f>'HA-REF'!$Q$24:$Q$33</c:f>
              <c:numCache>
                <c:formatCode>0.00</c:formatCode>
                <c:ptCount val="10"/>
                <c:pt idx="0">
                  <c:v>0</c:v>
                </c:pt>
                <c:pt idx="1">
                  <c:v>0.25379024118221938</c:v>
                </c:pt>
                <c:pt idx="2">
                  <c:v>0.42042716202827268</c:v>
                </c:pt>
                <c:pt idx="3">
                  <c:v>0.51317910324130322</c:v>
                </c:pt>
                <c:pt idx="4">
                  <c:v>0.90491450262851481</c:v>
                </c:pt>
                <c:pt idx="5">
                  <c:v>4.179372535362754</c:v>
                </c:pt>
                <c:pt idx="6">
                  <c:v>6.9285610887768714</c:v>
                </c:pt>
                <c:pt idx="7">
                  <c:v>7.9003827388675161</c:v>
                </c:pt>
                <c:pt idx="8">
                  <c:v>10.058021859794344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51-43A7-9C48-DC5BA846466F}"/>
            </c:ext>
          </c:extLst>
        </c:ser>
        <c:ser>
          <c:idx val="9"/>
          <c:order val="2"/>
          <c:tx>
            <c:v>HA-SSA</c:v>
          </c:tx>
          <c:spPr>
            <a:ln w="635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'HA-SSA'!$B$24:$B$33</c:f>
              <c:numCache>
                <c:formatCode>General</c:formatCode>
                <c:ptCount val="10"/>
                <c:pt idx="0">
                  <c:v>0</c:v>
                </c:pt>
                <c:pt idx="1">
                  <c:v>28</c:v>
                </c:pt>
                <c:pt idx="2">
                  <c:v>56</c:v>
                </c:pt>
                <c:pt idx="3">
                  <c:v>83</c:v>
                </c:pt>
                <c:pt idx="4">
                  <c:v>191</c:v>
                </c:pt>
                <c:pt idx="5">
                  <c:v>365</c:v>
                </c:pt>
                <c:pt idx="6">
                  <c:v>456</c:v>
                </c:pt>
                <c:pt idx="7">
                  <c:v>554</c:v>
                </c:pt>
                <c:pt idx="8">
                  <c:v>722</c:v>
                </c:pt>
                <c:pt idx="9">
                  <c:v>#N/A</c:v>
                </c:pt>
              </c:numCache>
            </c:numRef>
          </c:xVal>
          <c:yVal>
            <c:numRef>
              <c:f>'HA-SSA'!$Q$24:$Q$33</c:f>
              <c:numCache>
                <c:formatCode>0.00</c:formatCode>
                <c:ptCount val="10"/>
                <c:pt idx="0">
                  <c:v>0</c:v>
                </c:pt>
                <c:pt idx="1">
                  <c:v>0.12575220582095534</c:v>
                </c:pt>
                <c:pt idx="2">
                  <c:v>0.18172568955797305</c:v>
                </c:pt>
                <c:pt idx="3">
                  <c:v>0.22320235999961049</c:v>
                </c:pt>
                <c:pt idx="4">
                  <c:v>0.29618681096335436</c:v>
                </c:pt>
                <c:pt idx="5">
                  <c:v>2.038127452419102</c:v>
                </c:pt>
                <c:pt idx="6">
                  <c:v>2.7574027385883912</c:v>
                </c:pt>
                <c:pt idx="7">
                  <c:v>2.5087947842367164</c:v>
                </c:pt>
                <c:pt idx="8">
                  <c:v>3.6800454026234202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51-43A7-9C48-DC5BA846466F}"/>
            </c:ext>
          </c:extLst>
        </c:ser>
        <c:ser>
          <c:idx val="2"/>
          <c:order val="3"/>
          <c:tx>
            <c:v>LA-BA1</c:v>
          </c:tx>
          <c:spPr>
            <a:ln w="63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squar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'LA-BA1'!$B$24:$B$33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55</c:v>
                </c:pt>
                <c:pt idx="3">
                  <c:v>89</c:v>
                </c:pt>
                <c:pt idx="4">
                  <c:v>197</c:v>
                </c:pt>
                <c:pt idx="5">
                  <c:v>371</c:v>
                </c:pt>
                <c:pt idx="6">
                  <c:v>462</c:v>
                </c:pt>
                <c:pt idx="7">
                  <c:v>560</c:v>
                </c:pt>
                <c:pt idx="8">
                  <c:v>728</c:v>
                </c:pt>
                <c:pt idx="9">
                  <c:v>#N/A</c:v>
                </c:pt>
              </c:numCache>
            </c:numRef>
          </c:xVal>
          <c:yVal>
            <c:numRef>
              <c:f>'LA-BA1'!$Q$24:$Q$33</c:f>
              <c:numCache>
                <c:formatCode>0.00</c:formatCode>
                <c:ptCount val="10"/>
                <c:pt idx="0">
                  <c:v>0</c:v>
                </c:pt>
                <c:pt idx="1">
                  <c:v>0.10044871127679203</c:v>
                </c:pt>
                <c:pt idx="2">
                  <c:v>0.22584680456610931</c:v>
                </c:pt>
                <c:pt idx="3">
                  <c:v>0.34134248445953536</c:v>
                </c:pt>
                <c:pt idx="4">
                  <c:v>0.63763155950676031</c:v>
                </c:pt>
                <c:pt idx="5">
                  <c:v>2.2261721754039492</c:v>
                </c:pt>
                <c:pt idx="6">
                  <c:v>4.6737154766033306</c:v>
                </c:pt>
                <c:pt idx="7">
                  <c:v>4.8867533114143482</c:v>
                </c:pt>
                <c:pt idx="8">
                  <c:v>5.7638971663337584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B51-43A7-9C48-DC5BA846466F}"/>
            </c:ext>
          </c:extLst>
        </c:ser>
        <c:ser>
          <c:idx val="5"/>
          <c:order val="4"/>
          <c:tx>
            <c:v>HA-CC1</c:v>
          </c:tx>
          <c:spPr>
            <a:ln w="6350" cap="rnd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'HA-CC1'!$B$24:$B$33</c:f>
              <c:numCache>
                <c:formatCode>General</c:formatCode>
                <c:ptCount val="10"/>
                <c:pt idx="0">
                  <c:v>0</c:v>
                </c:pt>
                <c:pt idx="1">
                  <c:v>29</c:v>
                </c:pt>
                <c:pt idx="2">
                  <c:v>57</c:v>
                </c:pt>
                <c:pt idx="3">
                  <c:v>84</c:v>
                </c:pt>
                <c:pt idx="4">
                  <c:v>192</c:v>
                </c:pt>
                <c:pt idx="5">
                  <c:v>366</c:v>
                </c:pt>
                <c:pt idx="6">
                  <c:v>457</c:v>
                </c:pt>
                <c:pt idx="7">
                  <c:v>555</c:v>
                </c:pt>
                <c:pt idx="8">
                  <c:v>723</c:v>
                </c:pt>
                <c:pt idx="9">
                  <c:v>#N/A</c:v>
                </c:pt>
              </c:numCache>
            </c:numRef>
          </c:xVal>
          <c:yVal>
            <c:numRef>
              <c:f>'HA-CC1'!$Q$24:$Q$33</c:f>
              <c:numCache>
                <c:formatCode>0.00</c:formatCode>
                <c:ptCount val="10"/>
                <c:pt idx="0">
                  <c:v>0</c:v>
                </c:pt>
                <c:pt idx="1">
                  <c:v>5.6456430915824765E-2</c:v>
                </c:pt>
                <c:pt idx="2">
                  <c:v>8.3427028976090292E-2</c:v>
                </c:pt>
                <c:pt idx="3">
                  <c:v>9.3826891566078791E-2</c:v>
                </c:pt>
                <c:pt idx="4">
                  <c:v>0.13953189344827283</c:v>
                </c:pt>
                <c:pt idx="5">
                  <c:v>#N/A</c:v>
                </c:pt>
                <c:pt idx="6">
                  <c:v>0.25962063230277738</c:v>
                </c:pt>
                <c:pt idx="7">
                  <c:v>0.34036026550209469</c:v>
                </c:pt>
                <c:pt idx="8">
                  <c:v>0.34656158229892364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B51-43A7-9C48-DC5BA846466F}"/>
            </c:ext>
          </c:extLst>
        </c:ser>
        <c:ser>
          <c:idx val="8"/>
          <c:order val="5"/>
          <c:tx>
            <c:v>HA-CB</c:v>
          </c:tx>
          <c:spPr>
            <a:ln w="6350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'HA-CB'!$B$24:$B$33</c:f>
              <c:numCache>
                <c:formatCode>General</c:formatCode>
                <c:ptCount val="10"/>
                <c:pt idx="0">
                  <c:v>0</c:v>
                </c:pt>
                <c:pt idx="1">
                  <c:v>28</c:v>
                </c:pt>
                <c:pt idx="2">
                  <c:v>56</c:v>
                </c:pt>
                <c:pt idx="3">
                  <c:v>83</c:v>
                </c:pt>
                <c:pt idx="4">
                  <c:v>191</c:v>
                </c:pt>
                <c:pt idx="5">
                  <c:v>365</c:v>
                </c:pt>
                <c:pt idx="6">
                  <c:v>456</c:v>
                </c:pt>
                <c:pt idx="7">
                  <c:v>554</c:v>
                </c:pt>
                <c:pt idx="8">
                  <c:v>722</c:v>
                </c:pt>
                <c:pt idx="9">
                  <c:v>#N/A</c:v>
                </c:pt>
              </c:numCache>
            </c:numRef>
          </c:xVal>
          <c:yVal>
            <c:numRef>
              <c:f>'HA-CB'!$Q$24:$Q$33</c:f>
              <c:numCache>
                <c:formatCode>0.00</c:formatCode>
                <c:ptCount val="10"/>
                <c:pt idx="0">
                  <c:v>0</c:v>
                </c:pt>
                <c:pt idx="1">
                  <c:v>4.1084488100264001E-2</c:v>
                </c:pt>
                <c:pt idx="2">
                  <c:v>5.3057591871994311E-2</c:v>
                </c:pt>
                <c:pt idx="3">
                  <c:v>7.0248003949864177E-2</c:v>
                </c:pt>
                <c:pt idx="4">
                  <c:v>0.12077423626141325</c:v>
                </c:pt>
                <c:pt idx="5">
                  <c:v>0.79600005714491984</c:v>
                </c:pt>
                <c:pt idx="6">
                  <c:v>0.79227651590365844</c:v>
                </c:pt>
                <c:pt idx="7">
                  <c:v>1.0472279435358518</c:v>
                </c:pt>
                <c:pt idx="8">
                  <c:v>1.6978100655921582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B51-43A7-9C48-DC5BA846466F}"/>
            </c:ext>
          </c:extLst>
        </c:ser>
        <c:ser>
          <c:idx val="1"/>
          <c:order val="6"/>
          <c:tx>
            <c:v>LA-BA2</c:v>
          </c:tx>
          <c:spPr>
            <a:ln w="63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'LA-BA2'!$B$24:$B$33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55</c:v>
                </c:pt>
                <c:pt idx="3">
                  <c:v>89</c:v>
                </c:pt>
                <c:pt idx="4">
                  <c:v>197</c:v>
                </c:pt>
                <c:pt idx="5">
                  <c:v>371</c:v>
                </c:pt>
                <c:pt idx="6">
                  <c:v>462</c:v>
                </c:pt>
                <c:pt idx="7">
                  <c:v>560</c:v>
                </c:pt>
                <c:pt idx="8">
                  <c:v>728</c:v>
                </c:pt>
                <c:pt idx="9">
                  <c:v>#N/A</c:v>
                </c:pt>
              </c:numCache>
            </c:numRef>
          </c:xVal>
          <c:yVal>
            <c:numRef>
              <c:f>'LA-BA2'!$Q$24:$Q$33</c:f>
              <c:numCache>
                <c:formatCode>0.00</c:formatCode>
                <c:ptCount val="10"/>
                <c:pt idx="0">
                  <c:v>0</c:v>
                </c:pt>
                <c:pt idx="1">
                  <c:v>0.28576854407629271</c:v>
                </c:pt>
                <c:pt idx="2">
                  <c:v>0.44854931401015607</c:v>
                </c:pt>
                <c:pt idx="3">
                  <c:v>0.65670775715274132</c:v>
                </c:pt>
                <c:pt idx="4">
                  <c:v>1.1788936946517143</c:v>
                </c:pt>
                <c:pt idx="5">
                  <c:v>2.8705706740224195</c:v>
                </c:pt>
                <c:pt idx="6">
                  <c:v>4.954886575984462</c:v>
                </c:pt>
                <c:pt idx="7">
                  <c:v>5.6682137762348246</c:v>
                </c:pt>
                <c:pt idx="8">
                  <c:v>7.6069165127582172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B51-43A7-9C48-DC5BA846466F}"/>
            </c:ext>
          </c:extLst>
        </c:ser>
        <c:ser>
          <c:idx val="6"/>
          <c:order val="7"/>
          <c:tx>
            <c:v>HA-CC2</c:v>
          </c:tx>
          <c:spPr>
            <a:ln w="6350" cap="rnd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'HA-CC2'!$B$24:$B$33</c:f>
              <c:numCache>
                <c:formatCode>General</c:formatCode>
                <c:ptCount val="10"/>
                <c:pt idx="0">
                  <c:v>0</c:v>
                </c:pt>
                <c:pt idx="1">
                  <c:v>29</c:v>
                </c:pt>
                <c:pt idx="2">
                  <c:v>57</c:v>
                </c:pt>
                <c:pt idx="3">
                  <c:v>84</c:v>
                </c:pt>
                <c:pt idx="4">
                  <c:v>192</c:v>
                </c:pt>
                <c:pt idx="5">
                  <c:v>366</c:v>
                </c:pt>
                <c:pt idx="6">
                  <c:v>457</c:v>
                </c:pt>
                <c:pt idx="7">
                  <c:v>555</c:v>
                </c:pt>
                <c:pt idx="8">
                  <c:v>723</c:v>
                </c:pt>
                <c:pt idx="9">
                  <c:v>#N/A</c:v>
                </c:pt>
              </c:numCache>
            </c:numRef>
          </c:xVal>
          <c:yVal>
            <c:numRef>
              <c:f>'HA-CC2'!$Q$24:$Q$33</c:f>
              <c:numCache>
                <c:formatCode>0.00</c:formatCode>
                <c:ptCount val="10"/>
                <c:pt idx="0">
                  <c:v>0</c:v>
                </c:pt>
                <c:pt idx="1">
                  <c:v>2.3126495290977708E-2</c:v>
                </c:pt>
                <c:pt idx="2">
                  <c:v>3.838458877452039E-2</c:v>
                </c:pt>
                <c:pt idx="3">
                  <c:v>4.8622476024776526E-2</c:v>
                </c:pt>
                <c:pt idx="4">
                  <c:v>0.12778982816072462</c:v>
                </c:pt>
                <c:pt idx="5">
                  <c:v>0.22768878953716909</c:v>
                </c:pt>
                <c:pt idx="6">
                  <c:v>0.22646783613299182</c:v>
                </c:pt>
                <c:pt idx="7">
                  <c:v>0.29439911696996479</c:v>
                </c:pt>
                <c:pt idx="8">
                  <c:v>0.33175766734820406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B51-43A7-9C48-DC5BA846466F}"/>
            </c:ext>
          </c:extLst>
        </c:ser>
        <c:ser>
          <c:idx val="7"/>
          <c:order val="8"/>
          <c:tx>
            <c:v>HA-FA</c:v>
          </c:tx>
          <c:spPr>
            <a:ln w="6350" cap="rnd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'HA-FA'!$B$24:$B$33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55</c:v>
                </c:pt>
                <c:pt idx="3">
                  <c:v>82</c:v>
                </c:pt>
                <c:pt idx="4">
                  <c:v>190</c:v>
                </c:pt>
                <c:pt idx="5">
                  <c:v>364</c:v>
                </c:pt>
                <c:pt idx="6">
                  <c:v>455</c:v>
                </c:pt>
                <c:pt idx="7">
                  <c:v>553</c:v>
                </c:pt>
                <c:pt idx="8">
                  <c:v>721</c:v>
                </c:pt>
                <c:pt idx="9">
                  <c:v>#N/A</c:v>
                </c:pt>
              </c:numCache>
            </c:numRef>
          </c:xVal>
          <c:yVal>
            <c:numRef>
              <c:f>'HA-FA'!$Q$24:$Q$33</c:f>
              <c:numCache>
                <c:formatCode>0.00</c:formatCode>
                <c:ptCount val="10"/>
                <c:pt idx="0">
                  <c:v>0</c:v>
                </c:pt>
                <c:pt idx="1">
                  <c:v>3.429909815628588E-2</c:v>
                </c:pt>
                <c:pt idx="2">
                  <c:v>3.9929254641388086E-2</c:v>
                </c:pt>
                <c:pt idx="3">
                  <c:v>5.0948907630179813E-2</c:v>
                </c:pt>
                <c:pt idx="4">
                  <c:v>9.3610415229355093E-2</c:v>
                </c:pt>
                <c:pt idx="5">
                  <c:v>0.23346220525813502</c:v>
                </c:pt>
                <c:pt idx="6">
                  <c:v>0.36852606682279093</c:v>
                </c:pt>
                <c:pt idx="7">
                  <c:v>0.55238411395103748</c:v>
                </c:pt>
                <c:pt idx="8">
                  <c:v>0.76327547061462342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B51-43A7-9C48-DC5BA846466F}"/>
            </c:ext>
          </c:extLst>
        </c:ser>
        <c:ser>
          <c:idx val="3"/>
          <c:order val="9"/>
          <c:tx>
            <c:v>LA-GB</c:v>
          </c:tx>
          <c:spPr>
            <a:ln w="6350" cap="rnd">
              <a:solidFill>
                <a:srgbClr val="00B0F0"/>
              </a:solidFill>
              <a:prstDash val="dash"/>
              <a:round/>
            </a:ln>
            <a:effectLst/>
          </c:spPr>
          <c:marker>
            <c:symbol val="diamond"/>
            <c:size val="5"/>
            <c:spPr>
              <a:solidFill>
                <a:schemeClr val="bg1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'LA-GB'!$B$24:$B$33</c:f>
              <c:numCache>
                <c:formatCode>General</c:formatCode>
                <c:ptCount val="10"/>
                <c:pt idx="0">
                  <c:v>0</c:v>
                </c:pt>
                <c:pt idx="1">
                  <c:v>27</c:v>
                </c:pt>
                <c:pt idx="2">
                  <c:v>55</c:v>
                </c:pt>
                <c:pt idx="3">
                  <c:v>82</c:v>
                </c:pt>
                <c:pt idx="4">
                  <c:v>190</c:v>
                </c:pt>
                <c:pt idx="5">
                  <c:v>364</c:v>
                </c:pt>
                <c:pt idx="6">
                  <c:v>455</c:v>
                </c:pt>
                <c:pt idx="7">
                  <c:v>553</c:v>
                </c:pt>
                <c:pt idx="8">
                  <c:v>721</c:v>
                </c:pt>
                <c:pt idx="9">
                  <c:v>#N/A</c:v>
                </c:pt>
              </c:numCache>
            </c:numRef>
          </c:xVal>
          <c:yVal>
            <c:numRef>
              <c:f>'LA-GB'!$Q$24:$Q$33</c:f>
              <c:numCache>
                <c:formatCode>0.00</c:formatCode>
                <c:ptCount val="10"/>
                <c:pt idx="0">
                  <c:v>0</c:v>
                </c:pt>
                <c:pt idx="1">
                  <c:v>1.1572063252766246E-2</c:v>
                </c:pt>
                <c:pt idx="2">
                  <c:v>1.3379157322029748E-2</c:v>
                </c:pt>
                <c:pt idx="3">
                  <c:v>2.9951036082961867E-2</c:v>
                </c:pt>
                <c:pt idx="4">
                  <c:v>0.11015271241492527</c:v>
                </c:pt>
                <c:pt idx="5">
                  <c:v>0.45356878234751358</c:v>
                </c:pt>
                <c:pt idx="6">
                  <c:v>0.47917480589051553</c:v>
                </c:pt>
                <c:pt idx="7">
                  <c:v>0.50160209569322911</c:v>
                </c:pt>
                <c:pt idx="8">
                  <c:v>0.52962870783075788</c:v>
                </c:pt>
                <c:pt idx="9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B51-43A7-9C48-DC5BA8464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159216"/>
        <c:axId val="977154296"/>
        <c:extLst/>
      </c:scatterChart>
      <c:valAx>
        <c:axId val="977159216"/>
        <c:scaling>
          <c:orientation val="minMax"/>
          <c:max val="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 [days]</a:t>
                </a:r>
              </a:p>
            </c:rich>
          </c:tx>
          <c:layout>
            <c:manualLayout>
              <c:xMode val="edge"/>
              <c:yMode val="edge"/>
              <c:x val="0.75129214397236044"/>
              <c:y val="0.948951543209876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a-DK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a-DK"/>
          </a:p>
        </c:txPr>
        <c:crossAx val="977154296"/>
        <c:crosses val="autoZero"/>
        <c:crossBetween val="midCat"/>
      </c:valAx>
      <c:valAx>
        <c:axId val="977154296"/>
        <c:scaling>
          <c:orientation val="minMax"/>
          <c:max val="12"/>
        </c:scaling>
        <c:delete val="0"/>
        <c:axPos val="l"/>
        <c:numFmt formatCode="0" sourceLinked="0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a-DK"/>
          </a:p>
        </c:txPr>
        <c:crossAx val="977159216"/>
        <c:crosses val="autoZero"/>
        <c:crossBetween val="midCat"/>
      </c:valAx>
      <c:spPr>
        <a:noFill/>
        <a:ln w="63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4829034734848928E-2"/>
          <c:y val="7.8662654320987652E-2"/>
          <c:w val="0.91531996086223932"/>
          <c:h val="0.80489753086419757"/>
        </c:manualLayout>
      </c:layout>
      <c:scatterChart>
        <c:scatterStyle val="lineMarker"/>
        <c:varyColors val="0"/>
        <c:ser>
          <c:idx val="1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800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47D-417E-AD7A-F6D381C1B3AC}"/>
            </c:ext>
          </c:extLst>
        </c:ser>
        <c:ser>
          <c:idx val="11"/>
          <c:order val="1"/>
          <c:spPr>
            <a:ln w="1270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800</c:v>
              </c:pt>
            </c:numLit>
          </c:xVal>
          <c:yVal>
            <c:numLit>
              <c:formatCode>General</c:formatCode>
              <c:ptCount val="2"/>
              <c:pt idx="0">
                <c:v>0.04</c:v>
              </c:pt>
              <c:pt idx="1">
                <c:v>0.04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9A8-4491-9A26-98E22DFDD959}"/>
            </c:ext>
          </c:extLst>
        </c:ser>
        <c:ser>
          <c:idx val="0"/>
          <c:order val="2"/>
          <c:tx>
            <c:v>LA-Ref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'LA-REF'!$Q$7:$Q$13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2.0103896803024502E-3</c:v>
                  </c:pt>
                  <c:pt idx="2">
                    <c:v>3.7804320740712398E-3</c:v>
                  </c:pt>
                  <c:pt idx="3">
                    <c:v>1.6499158227685337E-3</c:v>
                  </c:pt>
                  <c:pt idx="4">
                    <c:v>1.4766704288890313E-3</c:v>
                  </c:pt>
                  <c:pt idx="5">
                    <c:v>1.8142950880896569E-3</c:v>
                  </c:pt>
                  <c:pt idx="6">
                    <c:v>2.1441133883780463E-3</c:v>
                  </c:pt>
                </c:numCache>
              </c:numRef>
            </c:plus>
            <c:minus>
              <c:numRef>
                <c:f>'LA-REF'!$Q$7:$Q$13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2.0103896803024502E-3</c:v>
                  </c:pt>
                  <c:pt idx="2">
                    <c:v>3.7804320740712398E-3</c:v>
                  </c:pt>
                  <c:pt idx="3">
                    <c:v>1.6499158227685337E-3</c:v>
                  </c:pt>
                  <c:pt idx="4">
                    <c:v>1.4766704288890313E-3</c:v>
                  </c:pt>
                  <c:pt idx="5">
                    <c:v>1.8142950880896569E-3</c:v>
                  </c:pt>
                  <c:pt idx="6">
                    <c:v>2.1441133883780463E-3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'LA-REF'!$B$7:$B$17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29</c:v>
                </c:pt>
                <c:pt idx="3">
                  <c:v>57</c:v>
                </c:pt>
                <c:pt idx="4">
                  <c:v>91</c:v>
                </c:pt>
                <c:pt idx="5">
                  <c:v>199</c:v>
                </c:pt>
                <c:pt idx="6">
                  <c:v>373</c:v>
                </c:pt>
                <c:pt idx="7">
                  <c:v>464</c:v>
                </c:pt>
                <c:pt idx="8">
                  <c:v>562</c:v>
                </c:pt>
                <c:pt idx="9">
                  <c:v>730</c:v>
                </c:pt>
                <c:pt idx="10">
                  <c:v>#N/A</c:v>
                </c:pt>
              </c:numCache>
            </c:numRef>
          </c:xVal>
          <c:yVal>
            <c:numRef>
              <c:f>'LA-REF'!$P$7:$P$17</c:f>
              <c:numCache>
                <c:formatCode>0.00</c:formatCode>
                <c:ptCount val="11"/>
                <c:pt idx="0">
                  <c:v>0</c:v>
                </c:pt>
                <c:pt idx="1">
                  <c:v>2.5000000000000209E-3</c:v>
                </c:pt>
                <c:pt idx="2">
                  <c:v>1.1249999999999982E-2</c:v>
                </c:pt>
                <c:pt idx="3">
                  <c:v>1.3916666666666652E-2</c:v>
                </c:pt>
                <c:pt idx="4">
                  <c:v>1.2166666666666659E-2</c:v>
                </c:pt>
                <c:pt idx="5">
                  <c:v>1.2249999999999983E-2</c:v>
                </c:pt>
                <c:pt idx="6">
                  <c:v>1.5166666666666662E-2</c:v>
                </c:pt>
                <c:pt idx="7">
                  <c:v>1.3916666666666652E-2</c:v>
                </c:pt>
                <c:pt idx="8">
                  <c:v>1.5749999999999986E-2</c:v>
                </c:pt>
                <c:pt idx="9">
                  <c:v>1.5875000000000028E-2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72-4C18-B529-4B062A6A81B5}"/>
            </c:ext>
          </c:extLst>
        </c:ser>
        <c:ser>
          <c:idx val="4"/>
          <c:order val="3"/>
          <c:tx>
            <c:v>HA-Ref</c:v>
          </c:tx>
          <c:spPr>
            <a:ln w="63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'HA-REF'!$Q$7:$Q$17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1.8549857741293049E-3</c:v>
                  </c:pt>
                  <c:pt idx="2">
                    <c:v>1.0324593077803011E-3</c:v>
                  </c:pt>
                  <c:pt idx="3">
                    <c:v>3.9856513478560588E-3</c:v>
                  </c:pt>
                  <c:pt idx="4">
                    <c:v>9.6686420395467043E-3</c:v>
                  </c:pt>
                  <c:pt idx="5">
                    <c:v>1.3618436237525809E-2</c:v>
                  </c:pt>
                  <c:pt idx="6">
                    <c:v>2.5893679516223424E-2</c:v>
                  </c:pt>
                  <c:pt idx="7">
                    <c:v>2.6813851623533818E-2</c:v>
                  </c:pt>
                  <c:pt idx="8">
                    <c:v>3.349999999999987E-2</c:v>
                  </c:pt>
                  <c:pt idx="9">
                    <c:v>3.3374999999999828E-2</c:v>
                  </c:pt>
                  <c:pt idx="10">
                    <c:v>#N/A</c:v>
                  </c:pt>
                </c:numCache>
              </c:numRef>
            </c:plus>
            <c:minus>
              <c:numRef>
                <c:f>'HA-REF'!$Q$7:$Q$17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1.8549857741293049E-3</c:v>
                  </c:pt>
                  <c:pt idx="2">
                    <c:v>1.0324593077803011E-3</c:v>
                  </c:pt>
                  <c:pt idx="3">
                    <c:v>3.9856513478560588E-3</c:v>
                  </c:pt>
                  <c:pt idx="4">
                    <c:v>9.6686420395467043E-3</c:v>
                  </c:pt>
                  <c:pt idx="5">
                    <c:v>1.3618436237525809E-2</c:v>
                  </c:pt>
                  <c:pt idx="6">
                    <c:v>2.5893679516223424E-2</c:v>
                  </c:pt>
                  <c:pt idx="7">
                    <c:v>2.6813851623533818E-2</c:v>
                  </c:pt>
                  <c:pt idx="8">
                    <c:v>3.349999999999987E-2</c:v>
                  </c:pt>
                  <c:pt idx="9">
                    <c:v>3.3374999999999828E-2</c:v>
                  </c:pt>
                  <c:pt idx="10">
                    <c:v>#N/A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'HA-REF'!$B$7:$B$17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29</c:v>
                </c:pt>
                <c:pt idx="3">
                  <c:v>57</c:v>
                </c:pt>
                <c:pt idx="4">
                  <c:v>91</c:v>
                </c:pt>
                <c:pt idx="5">
                  <c:v>199</c:v>
                </c:pt>
                <c:pt idx="6">
                  <c:v>373</c:v>
                </c:pt>
                <c:pt idx="7">
                  <c:v>464</c:v>
                </c:pt>
                <c:pt idx="8">
                  <c:v>562</c:v>
                </c:pt>
                <c:pt idx="9">
                  <c:v>730</c:v>
                </c:pt>
                <c:pt idx="10">
                  <c:v>#N/A</c:v>
                </c:pt>
              </c:numCache>
            </c:numRef>
          </c:xVal>
          <c:yVal>
            <c:numRef>
              <c:f>'HA-REF'!$P$7:$P$17</c:f>
              <c:numCache>
                <c:formatCode>0.00</c:formatCode>
                <c:ptCount val="11"/>
                <c:pt idx="0">
                  <c:v>0</c:v>
                </c:pt>
                <c:pt idx="1">
                  <c:v>4.5833333333337539E-4</c:v>
                </c:pt>
                <c:pt idx="2">
                  <c:v>1.7791666666666688E-2</c:v>
                </c:pt>
                <c:pt idx="3">
                  <c:v>0.10762500000000004</c:v>
                </c:pt>
                <c:pt idx="4">
                  <c:v>0.15445833333333334</c:v>
                </c:pt>
                <c:pt idx="5">
                  <c:v>0.21670833333333331</c:v>
                </c:pt>
                <c:pt idx="6">
                  <c:v>0.30329166666666668</c:v>
                </c:pt>
                <c:pt idx="7">
                  <c:v>0.30729166666666669</c:v>
                </c:pt>
                <c:pt idx="8">
                  <c:v>0.30525000000000002</c:v>
                </c:pt>
                <c:pt idx="9">
                  <c:v>0.30437500000000001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672-4C18-B529-4B062A6A81B5}"/>
            </c:ext>
          </c:extLst>
        </c:ser>
        <c:ser>
          <c:idx val="9"/>
          <c:order val="4"/>
          <c:tx>
            <c:v>HA-SSA</c:v>
          </c:tx>
          <c:spPr>
            <a:ln w="635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'HA-SSA'!$Q$7:$Q$13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5.4495794944809427E-3</c:v>
                  </c:pt>
                  <c:pt idx="2">
                    <c:v>8.7897904791107862E-3</c:v>
                  </c:pt>
                  <c:pt idx="3">
                    <c:v>9.5275550670439867E-3</c:v>
                  </c:pt>
                  <c:pt idx="4">
                    <c:v>9.4312203169403096E-3</c:v>
                  </c:pt>
                  <c:pt idx="5">
                    <c:v>8.8535539003649459E-3</c:v>
                  </c:pt>
                  <c:pt idx="6">
                    <c:v>7.888766626595654E-3</c:v>
                  </c:pt>
                </c:numCache>
              </c:numRef>
            </c:plus>
            <c:minus>
              <c:numRef>
                <c:f>'HA-SSA'!$Q$7:$Q$13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5.4495794944809427E-3</c:v>
                  </c:pt>
                  <c:pt idx="2">
                    <c:v>8.7897904791107862E-3</c:v>
                  </c:pt>
                  <c:pt idx="3">
                    <c:v>9.5275550670439867E-3</c:v>
                  </c:pt>
                  <c:pt idx="4">
                    <c:v>9.4312203169403096E-3</c:v>
                  </c:pt>
                  <c:pt idx="5">
                    <c:v>8.8535539003649459E-3</c:v>
                  </c:pt>
                  <c:pt idx="6">
                    <c:v>7.888766626595654E-3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'HA-SSA'!$B$7:$B$17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28</c:v>
                </c:pt>
                <c:pt idx="3">
                  <c:v>56</c:v>
                </c:pt>
                <c:pt idx="4">
                  <c:v>83</c:v>
                </c:pt>
                <c:pt idx="5">
                  <c:v>191</c:v>
                </c:pt>
                <c:pt idx="6">
                  <c:v>365</c:v>
                </c:pt>
                <c:pt idx="7">
                  <c:v>456</c:v>
                </c:pt>
                <c:pt idx="8">
                  <c:v>554</c:v>
                </c:pt>
                <c:pt idx="9">
                  <c:v>722</c:v>
                </c:pt>
                <c:pt idx="10">
                  <c:v>#N/A</c:v>
                </c:pt>
              </c:numCache>
            </c:numRef>
          </c:xVal>
          <c:yVal>
            <c:numRef>
              <c:f>'HA-SSA'!$P$7:$P$17</c:f>
              <c:numCache>
                <c:formatCode>0.00</c:formatCode>
                <c:ptCount val="11"/>
                <c:pt idx="0">
                  <c:v>0</c:v>
                </c:pt>
                <c:pt idx="1">
                  <c:v>-1.1875000000000044E-2</c:v>
                </c:pt>
                <c:pt idx="2">
                  <c:v>-9.1250000000000497E-3</c:v>
                </c:pt>
                <c:pt idx="3">
                  <c:v>-6.5416666666667051E-3</c:v>
                </c:pt>
                <c:pt idx="4">
                  <c:v>-8.1250000000000488E-3</c:v>
                </c:pt>
                <c:pt idx="5">
                  <c:v>-6.3750000000000568E-3</c:v>
                </c:pt>
                <c:pt idx="6">
                  <c:v>-3.2916666666667296E-3</c:v>
                </c:pt>
                <c:pt idx="7">
                  <c:v>-4.1250000000000453E-3</c:v>
                </c:pt>
                <c:pt idx="8">
                  <c:v>-5.4583333333333801E-3</c:v>
                </c:pt>
                <c:pt idx="9">
                  <c:v>-4.7083333333333517E-3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672-4C18-B529-4B062A6A81B5}"/>
            </c:ext>
          </c:extLst>
        </c:ser>
        <c:ser>
          <c:idx val="2"/>
          <c:order val="5"/>
          <c:tx>
            <c:v>LA-BA1</c:v>
          </c:tx>
          <c:spPr>
            <a:ln w="63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squar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'LA-BA1'!$Q$7:$Q$17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3.5197853469904256E-3</c:v>
                  </c:pt>
                  <c:pt idx="2">
                    <c:v>5.0024299650825175E-3</c:v>
                  </c:pt>
                  <c:pt idx="3">
                    <c:v>2.7619689031961338E-3</c:v>
                  </c:pt>
                  <c:pt idx="4">
                    <c:v>2.9279543484601531E-3</c:v>
                  </c:pt>
                  <c:pt idx="5">
                    <c:v>1.0877633780683448E-2</c:v>
                  </c:pt>
                  <c:pt idx="6">
                    <c:v>9.9080845216867573E-3</c:v>
                  </c:pt>
                  <c:pt idx="7">
                    <c:v>8.6303324900543973E-3</c:v>
                  </c:pt>
                  <c:pt idx="8">
                    <c:v>9.9545843710322438E-3</c:v>
                  </c:pt>
                  <c:pt idx="9">
                    <c:v>1.0257619119464304E-2</c:v>
                  </c:pt>
                  <c:pt idx="10">
                    <c:v>#N/A</c:v>
                  </c:pt>
                </c:numCache>
              </c:numRef>
            </c:plus>
            <c:minus>
              <c:numRef>
                <c:f>'LA-BA1'!$Q$7:$Q$17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3.5197853469904256E-3</c:v>
                  </c:pt>
                  <c:pt idx="2">
                    <c:v>5.0024299650825175E-3</c:v>
                  </c:pt>
                  <c:pt idx="3">
                    <c:v>2.7619689031961338E-3</c:v>
                  </c:pt>
                  <c:pt idx="4">
                    <c:v>2.9279543484601531E-3</c:v>
                  </c:pt>
                  <c:pt idx="5">
                    <c:v>1.0877633780683448E-2</c:v>
                  </c:pt>
                  <c:pt idx="6">
                    <c:v>9.9080845216867573E-3</c:v>
                  </c:pt>
                  <c:pt idx="7">
                    <c:v>8.6303324900543973E-3</c:v>
                  </c:pt>
                  <c:pt idx="8">
                    <c:v>9.9545843710322438E-3</c:v>
                  </c:pt>
                  <c:pt idx="9">
                    <c:v>1.0257619119464304E-2</c:v>
                  </c:pt>
                  <c:pt idx="10">
                    <c:v>#N/A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'LA-BA1'!$B$7:$B$17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27</c:v>
                </c:pt>
                <c:pt idx="3">
                  <c:v>55</c:v>
                </c:pt>
                <c:pt idx="4">
                  <c:v>89</c:v>
                </c:pt>
                <c:pt idx="5">
                  <c:v>197</c:v>
                </c:pt>
                <c:pt idx="6">
                  <c:v>371</c:v>
                </c:pt>
                <c:pt idx="7">
                  <c:v>462</c:v>
                </c:pt>
                <c:pt idx="8">
                  <c:v>560</c:v>
                </c:pt>
                <c:pt idx="9">
                  <c:v>728</c:v>
                </c:pt>
                <c:pt idx="10">
                  <c:v>#N/A</c:v>
                </c:pt>
              </c:numCache>
            </c:numRef>
          </c:xVal>
          <c:yVal>
            <c:numRef>
              <c:f>'LA-BA1'!$P$7:$P$17</c:f>
              <c:numCache>
                <c:formatCode>0.00</c:formatCode>
                <c:ptCount val="11"/>
                <c:pt idx="0">
                  <c:v>0</c:v>
                </c:pt>
                <c:pt idx="1">
                  <c:v>4.0916666666666636E-2</c:v>
                </c:pt>
                <c:pt idx="2">
                  <c:v>3.6833333333333308E-2</c:v>
                </c:pt>
                <c:pt idx="3">
                  <c:v>0.13441666666666666</c:v>
                </c:pt>
                <c:pt idx="4">
                  <c:v>0.17900000000000002</c:v>
                </c:pt>
                <c:pt idx="5">
                  <c:v>0.22925000000000004</c:v>
                </c:pt>
                <c:pt idx="6">
                  <c:v>0.26308333333333334</c:v>
                </c:pt>
                <c:pt idx="7">
                  <c:v>0.26916666666666667</c:v>
                </c:pt>
                <c:pt idx="8">
                  <c:v>0.26999999999999996</c:v>
                </c:pt>
                <c:pt idx="9">
                  <c:v>0.27074999999999999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72-4C18-B529-4B062A6A81B5}"/>
            </c:ext>
          </c:extLst>
        </c:ser>
        <c:ser>
          <c:idx val="5"/>
          <c:order val="6"/>
          <c:tx>
            <c:v>HA-CC1</c:v>
          </c:tx>
          <c:spPr>
            <a:ln w="6350" cap="rnd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'HA-CC1'!$Q$7:$Q$17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1.7743249890216452E-2</c:v>
                  </c:pt>
                  <c:pt idx="2">
                    <c:v>1.8873022339366437E-2</c:v>
                  </c:pt>
                  <c:pt idx="3">
                    <c:v>1.8873022339366437E-2</c:v>
                  </c:pt>
                  <c:pt idx="4">
                    <c:v>1.8706709283629296E-2</c:v>
                  </c:pt>
                  <c:pt idx="5">
                    <c:v>2.0478901744641169E-2</c:v>
                  </c:pt>
                  <c:pt idx="6">
                    <c:v>1.8519227995668588E-2</c:v>
                  </c:pt>
                  <c:pt idx="7">
                    <c:v>1.916603259820758E-2</c:v>
                  </c:pt>
                  <c:pt idx="8">
                    <c:v>1.970150515964594E-2</c:v>
                  </c:pt>
                  <c:pt idx="9">
                    <c:v>1.9102337698710031E-2</c:v>
                  </c:pt>
                  <c:pt idx="10">
                    <c:v>#N/A</c:v>
                  </c:pt>
                </c:numCache>
              </c:numRef>
            </c:plus>
            <c:minus>
              <c:numRef>
                <c:f>'HA-CC1'!$Q$7:$Q$17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1.7743249890216452E-2</c:v>
                  </c:pt>
                  <c:pt idx="2">
                    <c:v>1.8873022339366437E-2</c:v>
                  </c:pt>
                  <c:pt idx="3">
                    <c:v>1.8873022339366437E-2</c:v>
                  </c:pt>
                  <c:pt idx="4">
                    <c:v>1.8706709283629296E-2</c:v>
                  </c:pt>
                  <c:pt idx="5">
                    <c:v>2.0478901744641169E-2</c:v>
                  </c:pt>
                  <c:pt idx="6">
                    <c:v>1.8519227995668588E-2</c:v>
                  </c:pt>
                  <c:pt idx="7">
                    <c:v>1.916603259820758E-2</c:v>
                  </c:pt>
                  <c:pt idx="8">
                    <c:v>1.970150515964594E-2</c:v>
                  </c:pt>
                  <c:pt idx="9">
                    <c:v>1.9102337698710031E-2</c:v>
                  </c:pt>
                  <c:pt idx="10">
                    <c:v>#N/A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'HA-CC1'!$B$7:$B$17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29</c:v>
                </c:pt>
                <c:pt idx="3">
                  <c:v>57</c:v>
                </c:pt>
                <c:pt idx="4">
                  <c:v>84</c:v>
                </c:pt>
                <c:pt idx="5">
                  <c:v>192</c:v>
                </c:pt>
                <c:pt idx="6">
                  <c:v>366</c:v>
                </c:pt>
                <c:pt idx="7">
                  <c:v>457</c:v>
                </c:pt>
                <c:pt idx="8">
                  <c:v>555</c:v>
                </c:pt>
                <c:pt idx="9">
                  <c:v>723</c:v>
                </c:pt>
                <c:pt idx="10">
                  <c:v>#N/A</c:v>
                </c:pt>
              </c:numCache>
            </c:numRef>
          </c:xVal>
          <c:yVal>
            <c:numRef>
              <c:f>'HA-CC1'!$P$7:$P$17</c:f>
              <c:numCache>
                <c:formatCode>0.00</c:formatCode>
                <c:ptCount val="11"/>
                <c:pt idx="0">
                  <c:v>0</c:v>
                </c:pt>
                <c:pt idx="1">
                  <c:v>-3.3874999999999988E-2</c:v>
                </c:pt>
                <c:pt idx="2">
                  <c:v>-3.4041666666666713E-2</c:v>
                </c:pt>
                <c:pt idx="3">
                  <c:v>-3.0791666666666734E-2</c:v>
                </c:pt>
                <c:pt idx="4">
                  <c:v>-3.3458333333333368E-2</c:v>
                </c:pt>
                <c:pt idx="5">
                  <c:v>-3.0624999999999975E-2</c:v>
                </c:pt>
                <c:pt idx="6">
                  <c:v>-3.1041666666666707E-2</c:v>
                </c:pt>
                <c:pt idx="7">
                  <c:v>-3.5208333333333397E-2</c:v>
                </c:pt>
                <c:pt idx="8">
                  <c:v>-3.4458333333333334E-2</c:v>
                </c:pt>
                <c:pt idx="9">
                  <c:v>-3.7958333333333316E-2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672-4C18-B529-4B062A6A81B5}"/>
            </c:ext>
          </c:extLst>
        </c:ser>
        <c:ser>
          <c:idx val="8"/>
          <c:order val="7"/>
          <c:tx>
            <c:v>HA-CB</c:v>
          </c:tx>
          <c:spPr>
            <a:ln w="6350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'HA-CB'!$Q$7:$Q$13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6.2857311958647273E-3</c:v>
                  </c:pt>
                  <c:pt idx="2">
                    <c:v>5.9590617270394979E-3</c:v>
                  </c:pt>
                  <c:pt idx="3">
                    <c:v>5.7635709416992533E-3</c:v>
                  </c:pt>
                  <c:pt idx="4">
                    <c:v>5.815150232128332E-3</c:v>
                  </c:pt>
                  <c:pt idx="5">
                    <c:v>5.8845961817462515E-3</c:v>
                  </c:pt>
                  <c:pt idx="6">
                    <c:v>7.3472878594002047E-3</c:v>
                  </c:pt>
                </c:numCache>
              </c:numRef>
            </c:plus>
            <c:minus>
              <c:numRef>
                <c:f>'HA-CB'!$Q$7:$Q$13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6.2857311958647273E-3</c:v>
                  </c:pt>
                  <c:pt idx="2">
                    <c:v>5.9590617270394979E-3</c:v>
                  </c:pt>
                  <c:pt idx="3">
                    <c:v>5.7635709416992533E-3</c:v>
                  </c:pt>
                  <c:pt idx="4">
                    <c:v>5.815150232128332E-3</c:v>
                  </c:pt>
                  <c:pt idx="5">
                    <c:v>5.8845961817462515E-3</c:v>
                  </c:pt>
                  <c:pt idx="6">
                    <c:v>7.3472878594002047E-3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xVal>
            <c:numRef>
              <c:f>'HA-CB'!$B$7:$B$17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28</c:v>
                </c:pt>
                <c:pt idx="3">
                  <c:v>56</c:v>
                </c:pt>
                <c:pt idx="4">
                  <c:v>83</c:v>
                </c:pt>
                <c:pt idx="5">
                  <c:v>191</c:v>
                </c:pt>
                <c:pt idx="6">
                  <c:v>365</c:v>
                </c:pt>
                <c:pt idx="7">
                  <c:v>456</c:v>
                </c:pt>
                <c:pt idx="8">
                  <c:v>554</c:v>
                </c:pt>
                <c:pt idx="9">
                  <c:v>722</c:v>
                </c:pt>
                <c:pt idx="10">
                  <c:v>#N/A</c:v>
                </c:pt>
              </c:numCache>
            </c:numRef>
          </c:xVal>
          <c:yVal>
            <c:numRef>
              <c:f>'HA-CB'!$P$7:$P$17</c:f>
              <c:numCache>
                <c:formatCode>0.00</c:formatCode>
                <c:ptCount val="11"/>
                <c:pt idx="0">
                  <c:v>0</c:v>
                </c:pt>
                <c:pt idx="1">
                  <c:v>-9.7499999999999618E-3</c:v>
                </c:pt>
                <c:pt idx="2">
                  <c:v>-6.7500000000000338E-3</c:v>
                </c:pt>
                <c:pt idx="3">
                  <c:v>-4.0000000000000408E-3</c:v>
                </c:pt>
                <c:pt idx="4">
                  <c:v>-5.9166666666667185E-3</c:v>
                </c:pt>
                <c:pt idx="5">
                  <c:v>-2.9166666666666785E-3</c:v>
                </c:pt>
                <c:pt idx="6">
                  <c:v>4.9166666666666803E-3</c:v>
                </c:pt>
                <c:pt idx="7">
                  <c:v>-4.166666666666578E-4</c:v>
                </c:pt>
                <c:pt idx="8">
                  <c:v>-2.5000000000000949E-4</c:v>
                </c:pt>
                <c:pt idx="9">
                  <c:v>1.9166666666666405E-3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672-4C18-B529-4B062A6A81B5}"/>
            </c:ext>
          </c:extLst>
        </c:ser>
        <c:ser>
          <c:idx val="1"/>
          <c:order val="8"/>
          <c:tx>
            <c:v>LA-BA2</c:v>
          </c:tx>
          <c:spPr>
            <a:ln w="63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'LA-BA2'!$Q$7:$Q$17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1.8021206643532201E-2</c:v>
                  </c:pt>
                  <c:pt idx="2">
                    <c:v>3.6249137920783742E-2</c:v>
                  </c:pt>
                  <c:pt idx="3">
                    <c:v>6.6238206497458594E-3</c:v>
                  </c:pt>
                  <c:pt idx="4">
                    <c:v>4.9497474683058333E-3</c:v>
                  </c:pt>
                  <c:pt idx="5">
                    <c:v>5.5239378063921289E-3</c:v>
                  </c:pt>
                  <c:pt idx="6">
                    <c:v>4.1899350299921317E-3</c:v>
                  </c:pt>
                  <c:pt idx="7">
                    <c:v>4.5292260805670304E-3</c:v>
                  </c:pt>
                  <c:pt idx="8">
                    <c:v>2.1634591642912455E-3</c:v>
                  </c:pt>
                  <c:pt idx="9">
                    <c:v>1.9825628755617162E-3</c:v>
                  </c:pt>
                  <c:pt idx="10">
                    <c:v>#N/A</c:v>
                  </c:pt>
                </c:numCache>
              </c:numRef>
            </c:plus>
            <c:minus>
              <c:numRef>
                <c:f>'LA-BA2'!$Q$7:$Q$17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1.8021206643532201E-2</c:v>
                  </c:pt>
                  <c:pt idx="2">
                    <c:v>3.6249137920783742E-2</c:v>
                  </c:pt>
                  <c:pt idx="3">
                    <c:v>6.6238206497458594E-3</c:v>
                  </c:pt>
                  <c:pt idx="4">
                    <c:v>4.9497474683058333E-3</c:v>
                  </c:pt>
                  <c:pt idx="5">
                    <c:v>5.5239378063921289E-3</c:v>
                  </c:pt>
                  <c:pt idx="6">
                    <c:v>4.1899350299921317E-3</c:v>
                  </c:pt>
                  <c:pt idx="7">
                    <c:v>4.5292260805670304E-3</c:v>
                  </c:pt>
                  <c:pt idx="8">
                    <c:v>2.1634591642912455E-3</c:v>
                  </c:pt>
                  <c:pt idx="9">
                    <c:v>1.9825628755617162E-3</c:v>
                  </c:pt>
                  <c:pt idx="10">
                    <c:v>#N/A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'LA-BA2'!$B$7:$B$17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27</c:v>
                </c:pt>
                <c:pt idx="3">
                  <c:v>55</c:v>
                </c:pt>
                <c:pt idx="4">
                  <c:v>89</c:v>
                </c:pt>
                <c:pt idx="5">
                  <c:v>197</c:v>
                </c:pt>
                <c:pt idx="6">
                  <c:v>371</c:v>
                </c:pt>
                <c:pt idx="7">
                  <c:v>462</c:v>
                </c:pt>
                <c:pt idx="8">
                  <c:v>560</c:v>
                </c:pt>
                <c:pt idx="9">
                  <c:v>728</c:v>
                </c:pt>
                <c:pt idx="10">
                  <c:v>#N/A</c:v>
                </c:pt>
              </c:numCache>
            </c:numRef>
          </c:xVal>
          <c:yVal>
            <c:numRef>
              <c:f>'LA-BA2'!$P$7:$P$17</c:f>
              <c:numCache>
                <c:formatCode>0.00</c:formatCode>
                <c:ptCount val="11"/>
                <c:pt idx="0">
                  <c:v>0</c:v>
                </c:pt>
                <c:pt idx="1">
                  <c:v>3.5583333333333377E-2</c:v>
                </c:pt>
                <c:pt idx="2">
                  <c:v>0.11750000000000001</c:v>
                </c:pt>
                <c:pt idx="3">
                  <c:v>0.1615</c:v>
                </c:pt>
                <c:pt idx="4">
                  <c:v>0.16700000000000001</c:v>
                </c:pt>
                <c:pt idx="5">
                  <c:v>0.17583333333333331</c:v>
                </c:pt>
                <c:pt idx="6">
                  <c:v>0.18458333333333332</c:v>
                </c:pt>
                <c:pt idx="7">
                  <c:v>0.18633333333333338</c:v>
                </c:pt>
                <c:pt idx="8">
                  <c:v>0.1829166666666667</c:v>
                </c:pt>
                <c:pt idx="9">
                  <c:v>0.18558333333333335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672-4C18-B529-4B062A6A81B5}"/>
            </c:ext>
          </c:extLst>
        </c:ser>
        <c:ser>
          <c:idx val="6"/>
          <c:order val="9"/>
          <c:tx>
            <c:v>HA-CC2</c:v>
          </c:tx>
          <c:spPr>
            <a:ln w="6350" cap="rnd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'HA-CC2'!$Q$7:$Q$13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3.5355339059328715E-4</c:v>
                  </c:pt>
                  <c:pt idx="2">
                    <c:v>6.5616732283429709E-4</c:v>
                  </c:pt>
                  <c:pt idx="3">
                    <c:v>9.6465307523255E-4</c:v>
                  </c:pt>
                  <c:pt idx="4">
                    <c:v>8.8975652100259448E-4</c:v>
                  </c:pt>
                  <c:pt idx="5">
                    <c:v>7.7280154129127541E-4</c:v>
                  </c:pt>
                  <c:pt idx="6">
                    <c:v>7.3598007219399417E-4</c:v>
                  </c:pt>
                </c:numCache>
              </c:numRef>
            </c:plus>
            <c:minus>
              <c:numRef>
                <c:f>'HA-CC2'!$Q$7:$Q$13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3.5355339059328715E-4</c:v>
                  </c:pt>
                  <c:pt idx="2">
                    <c:v>6.5616732283429709E-4</c:v>
                  </c:pt>
                  <c:pt idx="3">
                    <c:v>9.6465307523255E-4</c:v>
                  </c:pt>
                  <c:pt idx="4">
                    <c:v>8.8975652100259448E-4</c:v>
                  </c:pt>
                  <c:pt idx="5">
                    <c:v>7.7280154129127541E-4</c:v>
                  </c:pt>
                  <c:pt idx="6">
                    <c:v>7.3598007219399417E-4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'HA-CC2'!$B$7:$B$17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29</c:v>
                </c:pt>
                <c:pt idx="3">
                  <c:v>57</c:v>
                </c:pt>
                <c:pt idx="4">
                  <c:v>84</c:v>
                </c:pt>
                <c:pt idx="5">
                  <c:v>192</c:v>
                </c:pt>
                <c:pt idx="6">
                  <c:v>366</c:v>
                </c:pt>
                <c:pt idx="7">
                  <c:v>457</c:v>
                </c:pt>
                <c:pt idx="8">
                  <c:v>555</c:v>
                </c:pt>
                <c:pt idx="9">
                  <c:v>723</c:v>
                </c:pt>
                <c:pt idx="10">
                  <c:v>#N/A</c:v>
                </c:pt>
              </c:numCache>
            </c:numRef>
          </c:xVal>
          <c:yVal>
            <c:numRef>
              <c:f>'HA-CC2'!$P$7:$P$17</c:f>
              <c:numCache>
                <c:formatCode>0.00</c:formatCode>
                <c:ptCount val="11"/>
                <c:pt idx="0">
                  <c:v>0</c:v>
                </c:pt>
                <c:pt idx="1">
                  <c:v>-1.0124999999999976E-2</c:v>
                </c:pt>
                <c:pt idx="2">
                  <c:v>-8.2916666666666607E-3</c:v>
                </c:pt>
                <c:pt idx="3">
                  <c:v>-6.2083333333333339E-3</c:v>
                </c:pt>
                <c:pt idx="4">
                  <c:v>-7.6249999999999929E-3</c:v>
                </c:pt>
                <c:pt idx="5">
                  <c:v>-7.2083333333333348E-3</c:v>
                </c:pt>
                <c:pt idx="6">
                  <c:v>-4.6249999999999902E-3</c:v>
                </c:pt>
                <c:pt idx="7">
                  <c:v>-6.5416666666666679E-3</c:v>
                </c:pt>
                <c:pt idx="8">
                  <c:v>-8.458333333333309E-3</c:v>
                </c:pt>
                <c:pt idx="9">
                  <c:v>-6.3749999999999822E-3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672-4C18-B529-4B062A6A81B5}"/>
            </c:ext>
          </c:extLst>
        </c:ser>
        <c:ser>
          <c:idx val="7"/>
          <c:order val="10"/>
          <c:tx>
            <c:v>HA-FA</c:v>
          </c:tx>
          <c:spPr>
            <a:ln w="6350" cap="rnd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'HA-FA'!$Q$7:$Q$13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1.3580521181293298E-2</c:v>
                  </c:pt>
                  <c:pt idx="2">
                    <c:v>1.2768777023139943E-2</c:v>
                  </c:pt>
                  <c:pt idx="3">
                    <c:v>1.2393434641866737E-2</c:v>
                  </c:pt>
                  <c:pt idx="4">
                    <c:v>1.3676825492619116E-2</c:v>
                  </c:pt>
                  <c:pt idx="5">
                    <c:v>1.3183006738474589E-2</c:v>
                  </c:pt>
                  <c:pt idx="6">
                    <c:v>1.3356230339766153E-2</c:v>
                  </c:pt>
                </c:numCache>
              </c:numRef>
            </c:plus>
            <c:minus>
              <c:numRef>
                <c:f>'HA-FA'!$Q$7:$Q$13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1.3580521181293298E-2</c:v>
                  </c:pt>
                  <c:pt idx="2">
                    <c:v>1.2768777023139943E-2</c:v>
                  </c:pt>
                  <c:pt idx="3">
                    <c:v>1.2393434641866737E-2</c:v>
                  </c:pt>
                  <c:pt idx="4">
                    <c:v>1.3676825492619116E-2</c:v>
                  </c:pt>
                  <c:pt idx="5">
                    <c:v>1.3183006738474589E-2</c:v>
                  </c:pt>
                  <c:pt idx="6">
                    <c:v>1.3356230339766153E-2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75000"/>
                  </a:schemeClr>
                </a:solidFill>
                <a:round/>
              </a:ln>
              <a:effectLst/>
            </c:spPr>
          </c:errBars>
          <c:xVal>
            <c:numRef>
              <c:f>'HA-FA'!$B$7:$B$17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27</c:v>
                </c:pt>
                <c:pt idx="3">
                  <c:v>55</c:v>
                </c:pt>
                <c:pt idx="4">
                  <c:v>82</c:v>
                </c:pt>
                <c:pt idx="5">
                  <c:v>190</c:v>
                </c:pt>
                <c:pt idx="6">
                  <c:v>364</c:v>
                </c:pt>
                <c:pt idx="7">
                  <c:v>455</c:v>
                </c:pt>
                <c:pt idx="8">
                  <c:v>553</c:v>
                </c:pt>
                <c:pt idx="9">
                  <c:v>721</c:v>
                </c:pt>
                <c:pt idx="10">
                  <c:v>#N/A</c:v>
                </c:pt>
              </c:numCache>
            </c:numRef>
          </c:xVal>
          <c:yVal>
            <c:numRef>
              <c:f>'HA-FA'!$P$7:$P$17</c:f>
              <c:numCache>
                <c:formatCode>0.00</c:formatCode>
                <c:ptCount val="11"/>
                <c:pt idx="0">
                  <c:v>0</c:v>
                </c:pt>
                <c:pt idx="1">
                  <c:v>-2.3541666666666683E-2</c:v>
                </c:pt>
                <c:pt idx="2">
                  <c:v>-1.8625000000000041E-2</c:v>
                </c:pt>
                <c:pt idx="3">
                  <c:v>-2.2208333333333313E-2</c:v>
                </c:pt>
                <c:pt idx="4">
                  <c:v>-2.4041666666666666E-2</c:v>
                </c:pt>
                <c:pt idx="5">
                  <c:v>-2.2875000000000017E-2</c:v>
                </c:pt>
                <c:pt idx="6">
                  <c:v>-2.1541666666666681E-2</c:v>
                </c:pt>
                <c:pt idx="7">
                  <c:v>-1.979166666666669E-2</c:v>
                </c:pt>
                <c:pt idx="8">
                  <c:v>-1.9625000000000042E-2</c:v>
                </c:pt>
                <c:pt idx="9">
                  <c:v>-2.1208333333333346E-2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672-4C18-B529-4B062A6A81B5}"/>
            </c:ext>
          </c:extLst>
        </c:ser>
        <c:ser>
          <c:idx val="3"/>
          <c:order val="11"/>
          <c:tx>
            <c:v>LA-GB</c:v>
          </c:tx>
          <c:spPr>
            <a:ln w="6350" cap="rnd">
              <a:solidFill>
                <a:srgbClr val="00B0F0"/>
              </a:solidFill>
              <a:prstDash val="dash"/>
              <a:round/>
            </a:ln>
            <a:effectLst/>
          </c:spPr>
          <c:marker>
            <c:symbol val="diamond"/>
            <c:size val="5"/>
            <c:spPr>
              <a:solidFill>
                <a:schemeClr val="bg1"/>
              </a:solidFill>
              <a:ln w="9525">
                <a:solidFill>
                  <a:srgbClr val="00B0F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'LA-GB'!$Q$7:$Q$17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1.6032519036840959E-2</c:v>
                  </c:pt>
                  <c:pt idx="2">
                    <c:v>1.830452281693119E-2</c:v>
                  </c:pt>
                  <c:pt idx="3">
                    <c:v>1.4813188568149541E-2</c:v>
                  </c:pt>
                  <c:pt idx="4">
                    <c:v>1.4800056306199202E-2</c:v>
                  </c:pt>
                  <c:pt idx="5">
                    <c:v>2.6319616680761569E-2</c:v>
                  </c:pt>
                  <c:pt idx="6">
                    <c:v>3.7394481173325826E-2</c:v>
                  </c:pt>
                  <c:pt idx="7">
                    <c:v>3.7804320740712438E-2</c:v>
                  </c:pt>
                  <c:pt idx="8">
                    <c:v>3.7429006873754424E-2</c:v>
                  </c:pt>
                  <c:pt idx="9">
                    <c:v>3.8334601428300523E-2</c:v>
                  </c:pt>
                  <c:pt idx="10">
                    <c:v>#N/A</c:v>
                  </c:pt>
                </c:numCache>
              </c:numRef>
            </c:plus>
            <c:minus>
              <c:numRef>
                <c:f>'LA-GB'!$Q$7:$Q$17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1.6032519036840959E-2</c:v>
                  </c:pt>
                  <c:pt idx="2">
                    <c:v>1.830452281693119E-2</c:v>
                  </c:pt>
                  <c:pt idx="3">
                    <c:v>1.4813188568149541E-2</c:v>
                  </c:pt>
                  <c:pt idx="4">
                    <c:v>1.4800056306199202E-2</c:v>
                  </c:pt>
                  <c:pt idx="5">
                    <c:v>2.6319616680761569E-2</c:v>
                  </c:pt>
                  <c:pt idx="6">
                    <c:v>3.7394481173325826E-2</c:v>
                  </c:pt>
                  <c:pt idx="7">
                    <c:v>3.7804320740712438E-2</c:v>
                  </c:pt>
                  <c:pt idx="8">
                    <c:v>3.7429006873754424E-2</c:v>
                  </c:pt>
                  <c:pt idx="9">
                    <c:v>3.8334601428300523E-2</c:v>
                  </c:pt>
                  <c:pt idx="10">
                    <c:v>#N/A</c:v>
                  </c:pt>
                </c:numCache>
              </c:numRef>
            </c:minus>
            <c:spPr>
              <a:noFill/>
              <a:ln w="6350" cap="flat" cmpd="sng" algn="ctr">
                <a:solidFill>
                  <a:srgbClr val="00B0F0"/>
                </a:solidFill>
                <a:round/>
              </a:ln>
              <a:effectLst/>
            </c:spPr>
          </c:errBars>
          <c:xVal>
            <c:numRef>
              <c:f>'LA-GB'!$B$7:$B$17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27</c:v>
                </c:pt>
                <c:pt idx="3">
                  <c:v>55</c:v>
                </c:pt>
                <c:pt idx="4">
                  <c:v>82</c:v>
                </c:pt>
                <c:pt idx="5">
                  <c:v>190</c:v>
                </c:pt>
                <c:pt idx="6">
                  <c:v>364</c:v>
                </c:pt>
                <c:pt idx="7">
                  <c:v>455</c:v>
                </c:pt>
                <c:pt idx="8">
                  <c:v>553</c:v>
                </c:pt>
                <c:pt idx="9">
                  <c:v>721</c:v>
                </c:pt>
                <c:pt idx="10">
                  <c:v>#N/A</c:v>
                </c:pt>
              </c:numCache>
            </c:numRef>
          </c:xVal>
          <c:yVal>
            <c:numRef>
              <c:f>'LA-GB'!$P$7:$P$17</c:f>
              <c:numCache>
                <c:formatCode>0.00</c:formatCode>
                <c:ptCount val="11"/>
                <c:pt idx="0">
                  <c:v>0</c:v>
                </c:pt>
                <c:pt idx="1">
                  <c:v>-2.4000000000000059E-2</c:v>
                </c:pt>
                <c:pt idx="2">
                  <c:v>-3.46666666666667E-2</c:v>
                </c:pt>
                <c:pt idx="3">
                  <c:v>-4.1416666666666657E-2</c:v>
                </c:pt>
                <c:pt idx="4">
                  <c:v>-3.949999999999998E-2</c:v>
                </c:pt>
                <c:pt idx="5">
                  <c:v>9.6833333333333327E-2</c:v>
                </c:pt>
                <c:pt idx="6">
                  <c:v>0.18891666666666665</c:v>
                </c:pt>
                <c:pt idx="7">
                  <c:v>0.19449999999999998</c:v>
                </c:pt>
                <c:pt idx="8">
                  <c:v>0.20341666666666666</c:v>
                </c:pt>
                <c:pt idx="9">
                  <c:v>0.20225000000000001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672-4C18-B529-4B062A6A8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159216"/>
        <c:axId val="977154296"/>
        <c:extLst/>
      </c:scatterChart>
      <c:valAx>
        <c:axId val="977159216"/>
        <c:scaling>
          <c:orientation val="minMax"/>
          <c:max val="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 [days]</a:t>
                </a:r>
              </a:p>
            </c:rich>
          </c:tx>
          <c:layout>
            <c:manualLayout>
              <c:xMode val="edge"/>
              <c:yMode val="edge"/>
              <c:x val="0.86427562914256773"/>
              <c:y val="0.950911419753086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a-DK"/>
            </a:p>
          </c:txPr>
        </c:title>
        <c:numFmt formatCode="General" sourceLinked="1"/>
        <c:majorTickMark val="in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a-DK"/>
          </a:p>
        </c:txPr>
        <c:crossAx val="977154296"/>
        <c:crossesAt val="-1"/>
        <c:crossBetween val="midCat"/>
      </c:valAx>
      <c:valAx>
        <c:axId val="977154296"/>
        <c:scaling>
          <c:orientation val="minMax"/>
          <c:max val="0.8"/>
          <c:min val="-0.1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Expansion [%]</a:t>
                </a:r>
              </a:p>
            </c:rich>
          </c:tx>
          <c:layout>
            <c:manualLayout>
              <c:xMode val="edge"/>
              <c:yMode val="edge"/>
              <c:x val="4.0801333175361096E-2"/>
              <c:y val="1.598364197530864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a-DK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a-DK"/>
          </a:p>
        </c:txPr>
        <c:crossAx val="977159216"/>
        <c:crosses val="autoZero"/>
        <c:crossBetween val="midCat"/>
      </c:valAx>
      <c:spPr>
        <a:noFill/>
        <a:ln w="6350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69575722604639E-2"/>
          <c:y val="8.7070379806868256E-2"/>
          <c:w val="0.87365796715655519"/>
          <c:h val="0.7862109138897373"/>
        </c:manualLayout>
      </c:layout>
      <c:scatterChart>
        <c:scatterStyle val="lineMarker"/>
        <c:varyColors val="0"/>
        <c:ser>
          <c:idx val="0"/>
          <c:order val="0"/>
          <c:tx>
            <c:v>Rapid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'LA-REF'!$Q$7:$Q$13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2.0103896803024502E-3</c:v>
                  </c:pt>
                  <c:pt idx="2">
                    <c:v>3.7804320740712398E-3</c:v>
                  </c:pt>
                  <c:pt idx="3">
                    <c:v>1.6499158227685337E-3</c:v>
                  </c:pt>
                  <c:pt idx="4">
                    <c:v>1.4766704288890313E-3</c:v>
                  </c:pt>
                  <c:pt idx="5">
                    <c:v>1.8142950880896569E-3</c:v>
                  </c:pt>
                  <c:pt idx="6">
                    <c:v>2.1441133883780463E-3</c:v>
                  </c:pt>
                </c:numCache>
              </c:numRef>
            </c:plus>
            <c:minus>
              <c:numRef>
                <c:f>'LA-REF'!$Q$7:$Q$13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2.0103896803024502E-3</c:v>
                  </c:pt>
                  <c:pt idx="2">
                    <c:v>3.7804320740712398E-3</c:v>
                  </c:pt>
                  <c:pt idx="3">
                    <c:v>1.6499158227685337E-3</c:v>
                  </c:pt>
                  <c:pt idx="4">
                    <c:v>1.4766704288890313E-3</c:v>
                  </c:pt>
                  <c:pt idx="5">
                    <c:v>1.8142950880896569E-3</c:v>
                  </c:pt>
                  <c:pt idx="6">
                    <c:v>2.1441133883780463E-3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'LA-REF'!$B$7:$B$17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29</c:v>
                </c:pt>
                <c:pt idx="3">
                  <c:v>57</c:v>
                </c:pt>
                <c:pt idx="4">
                  <c:v>91</c:v>
                </c:pt>
                <c:pt idx="5">
                  <c:v>199</c:v>
                </c:pt>
                <c:pt idx="6">
                  <c:v>373</c:v>
                </c:pt>
                <c:pt idx="7">
                  <c:v>464</c:v>
                </c:pt>
                <c:pt idx="8">
                  <c:v>562</c:v>
                </c:pt>
                <c:pt idx="9">
                  <c:v>730</c:v>
                </c:pt>
                <c:pt idx="10">
                  <c:v>#N/A</c:v>
                </c:pt>
              </c:numCache>
            </c:numRef>
          </c:xVal>
          <c:yVal>
            <c:numRef>
              <c:f>'LA-REF'!$P$7:$P$17</c:f>
              <c:numCache>
                <c:formatCode>0.00</c:formatCode>
                <c:ptCount val="11"/>
                <c:pt idx="0">
                  <c:v>0</c:v>
                </c:pt>
                <c:pt idx="1">
                  <c:v>2.5000000000000209E-3</c:v>
                </c:pt>
                <c:pt idx="2">
                  <c:v>1.1249999999999982E-2</c:v>
                </c:pt>
                <c:pt idx="3">
                  <c:v>1.3916666666666652E-2</c:v>
                </c:pt>
                <c:pt idx="4">
                  <c:v>1.2166666666666659E-2</c:v>
                </c:pt>
                <c:pt idx="5">
                  <c:v>1.2249999999999983E-2</c:v>
                </c:pt>
                <c:pt idx="6">
                  <c:v>1.5166666666666662E-2</c:v>
                </c:pt>
                <c:pt idx="7">
                  <c:v>1.3916666666666652E-2</c:v>
                </c:pt>
                <c:pt idx="8">
                  <c:v>1.5749999999999986E-2</c:v>
                </c:pt>
                <c:pt idx="9">
                  <c:v>1.5875000000000028E-2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0D-408E-94AD-92E7A9082A5F}"/>
            </c:ext>
          </c:extLst>
        </c:ser>
        <c:ser>
          <c:idx val="10"/>
          <c:order val="1"/>
          <c:tx>
            <c:v>Futurecem 1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>
                    <a:lumMod val="40000"/>
                    <a:lumOff val="60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0D-408E-94AD-92E7A9082A5F}"/>
            </c:ext>
          </c:extLst>
        </c:ser>
        <c:ser>
          <c:idx val="11"/>
          <c:order val="2"/>
          <c:tx>
            <c:v>Futurecem 3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90D-408E-94AD-92E7A9082A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159216"/>
        <c:axId val="977154296"/>
        <c:extLst/>
      </c:scatterChart>
      <c:valAx>
        <c:axId val="977159216"/>
        <c:scaling>
          <c:orientation val="minMax"/>
          <c:max val="8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 [days]</a:t>
                </a:r>
              </a:p>
            </c:rich>
          </c:tx>
          <c:layout>
            <c:manualLayout>
              <c:xMode val="edge"/>
              <c:yMode val="edge"/>
              <c:x val="0.86292869456444188"/>
              <c:y val="0.949639601673825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a-DK"/>
            </a:p>
          </c:txPr>
        </c:title>
        <c:numFmt formatCode="General" sourceLinked="1"/>
        <c:majorTickMark val="in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a-DK"/>
          </a:p>
        </c:txPr>
        <c:crossAx val="977154296"/>
        <c:crossesAt val="-0.1"/>
        <c:crossBetween val="midCat"/>
      </c:valAx>
      <c:valAx>
        <c:axId val="977154296"/>
        <c:scaling>
          <c:orientation val="minMax"/>
          <c:max val="0.8"/>
          <c:min val="-0.1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a-DK"/>
                  <a:t>Expansion</a:t>
                </a:r>
                <a:r>
                  <a:rPr lang="da-DK" baseline="0"/>
                  <a:t> [%]</a:t>
                </a:r>
                <a:endParaRPr lang="da-DK"/>
              </a:p>
            </c:rich>
          </c:tx>
          <c:layout>
            <c:manualLayout>
              <c:xMode val="edge"/>
              <c:yMode val="edge"/>
              <c:x val="8.0466407805372994E-2"/>
              <c:y val="2.149792447164561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a-DK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a-DK"/>
          </a:p>
        </c:txPr>
        <c:crossAx val="977159216"/>
        <c:crosses val="autoZero"/>
        <c:crossBetween val="midCat"/>
      </c:valAx>
      <c:spPr>
        <a:noFill/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7933659382259568"/>
          <c:y val="0.10171732089949442"/>
          <c:w val="0.16708929212469106"/>
          <c:h val="0.17994656851563315"/>
        </c:manualLayout>
      </c:layout>
      <c:overlay val="0"/>
      <c:spPr>
        <a:solidFill>
          <a:schemeClr val="bg1"/>
        </a:solidFill>
        <a:ln w="6350"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a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'Alkali leaching'!$C$2</c:f>
              <c:strCache>
                <c:ptCount val="1"/>
                <c:pt idx="0">
                  <c:v>Height [mm]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41206627296587928"/>
                  <c:y val="2.7784339457567805E-2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ysClr val="windowText" lastClr="00000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a-DK"/>
                </a:p>
              </c:txPr>
            </c:trendlineLbl>
          </c:trendline>
          <c:xVal>
            <c:numRef>
              <c:f>'Alkali leaching'!$B$3:$B$7</c:f>
              <c:numCache>
                <c:formatCode>General</c:formatCode>
                <c:ptCount val="5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</c:numCache>
            </c:numRef>
          </c:xVal>
          <c:yVal>
            <c:numRef>
              <c:f>'Alkali leaching'!$C$3:$C$7</c:f>
              <c:numCache>
                <c:formatCode>General</c:formatCode>
                <c:ptCount val="5"/>
                <c:pt idx="0">
                  <c:v>0</c:v>
                </c:pt>
                <c:pt idx="1">
                  <c:v>5.7</c:v>
                </c:pt>
                <c:pt idx="2">
                  <c:v>12.2</c:v>
                </c:pt>
                <c:pt idx="3">
                  <c:v>19</c:v>
                </c:pt>
                <c:pt idx="4">
                  <c:v>26.6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0B-4EFC-AD48-86DC8FD1C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0565704"/>
        <c:axId val="770570952"/>
      </c:scatterChart>
      <c:valAx>
        <c:axId val="770565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Volume [mL]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70570952"/>
        <c:crosses val="autoZero"/>
        <c:crossBetween val="midCat"/>
      </c:valAx>
      <c:valAx>
        <c:axId val="770570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Height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70565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336336</xdr:colOff>
      <xdr:row>0</xdr:row>
      <xdr:rowOff>139879</xdr:rowOff>
    </xdr:from>
    <xdr:to>
      <xdr:col>22</xdr:col>
      <xdr:colOff>166927</xdr:colOff>
      <xdr:row>17</xdr:row>
      <xdr:rowOff>141379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5C074B27-83F0-42C6-A177-D302BC9E4C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482204</xdr:colOff>
      <xdr:row>0</xdr:row>
      <xdr:rowOff>108137</xdr:rowOff>
    </xdr:from>
    <xdr:to>
      <xdr:col>17</xdr:col>
      <xdr:colOff>143884</xdr:colOff>
      <xdr:row>17</xdr:row>
      <xdr:rowOff>114610</xdr:rowOff>
    </xdr:to>
    <xdr:grpSp>
      <xdr:nvGrpSpPr>
        <xdr:cNvPr id="75" name="Group 74">
          <a:extLst>
            <a:ext uri="{FF2B5EF4-FFF2-40B4-BE49-F238E27FC236}">
              <a16:creationId xmlns:a16="http://schemas.microsoft.com/office/drawing/2014/main" id="{045AAEBD-0C0C-794F-9795-E427FCC3CE76}"/>
            </a:ext>
          </a:extLst>
        </xdr:cNvPr>
        <xdr:cNvGrpSpPr/>
      </xdr:nvGrpSpPr>
      <xdr:grpSpPr>
        <a:xfrm>
          <a:off x="6405847" y="108137"/>
          <a:ext cx="5739537" cy="3090759"/>
          <a:chOff x="6256735" y="6013637"/>
          <a:chExt cx="5733868" cy="3244973"/>
        </a:xfrm>
      </xdr:grpSpPr>
      <xdr:grpSp>
        <xdr:nvGrpSpPr>
          <xdr:cNvPr id="74" name="Group 73">
            <a:extLst>
              <a:ext uri="{FF2B5EF4-FFF2-40B4-BE49-F238E27FC236}">
                <a16:creationId xmlns:a16="http://schemas.microsoft.com/office/drawing/2014/main" id="{4036E416-3C83-D66B-88E0-C8A5589CFA1D}"/>
              </a:ext>
            </a:extLst>
          </xdr:cNvPr>
          <xdr:cNvGrpSpPr/>
        </xdr:nvGrpSpPr>
        <xdr:grpSpPr>
          <a:xfrm>
            <a:off x="9124557" y="6013637"/>
            <a:ext cx="2866046" cy="3240000"/>
            <a:chOff x="9124557" y="6013637"/>
            <a:chExt cx="2866046" cy="3240000"/>
          </a:xfrm>
        </xdr:grpSpPr>
        <xdr:graphicFrame macro="">
          <xdr:nvGraphicFramePr>
            <xdr:cNvPr id="10" name="Chart 9">
              <a:extLst>
                <a:ext uri="{FF2B5EF4-FFF2-40B4-BE49-F238E27FC236}">
                  <a16:creationId xmlns:a16="http://schemas.microsoft.com/office/drawing/2014/main" id="{44984230-87BF-4455-8825-8F91FAE2224F}"/>
                </a:ext>
              </a:extLst>
            </xdr:cNvPr>
            <xdr:cNvGraphicFramePr>
              <a:graphicFrameLocks/>
            </xdr:cNvGraphicFramePr>
          </xdr:nvGraphicFramePr>
          <xdr:xfrm>
            <a:off x="9124557" y="6013637"/>
            <a:ext cx="2866046" cy="32400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  <xdr:sp macro="" textlink="">
          <xdr:nvSpPr>
            <xdr:cNvPr id="23" name="TextBox 22">
              <a:extLst>
                <a:ext uri="{FF2B5EF4-FFF2-40B4-BE49-F238E27FC236}">
                  <a16:creationId xmlns:a16="http://schemas.microsoft.com/office/drawing/2014/main" id="{F630EBDD-7C54-537E-0758-7773551CF5EE}"/>
                </a:ext>
              </a:extLst>
            </xdr:cNvPr>
            <xdr:cNvSpPr txBox="1"/>
          </xdr:nvSpPr>
          <xdr:spPr>
            <a:xfrm>
              <a:off x="9355699" y="6091488"/>
              <a:ext cx="851292" cy="170447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36000" tIns="36000" rIns="36000" bIns="36000" rtlCol="0" anchor="t"/>
            <a:lstStyle/>
            <a:p>
              <a:r>
                <a:rPr lang="en-GB" sz="800">
                  <a:latin typeface="Arial" panose="020B0604020202020204" pitchFamily="34" charset="0"/>
                  <a:cs typeface="Arial" panose="020B0604020202020204" pitchFamily="34" charset="0"/>
                </a:rPr>
                <a:t>Na</a:t>
              </a:r>
              <a:r>
                <a:rPr lang="en-GB" sz="800" baseline="-25000">
                  <a:latin typeface="Arial" panose="020B0604020202020204" pitchFamily="34" charset="0"/>
                  <a:cs typeface="Arial" panose="020B0604020202020204" pitchFamily="34" charset="0"/>
                </a:rPr>
                <a:t>2</a:t>
              </a:r>
              <a:r>
                <a:rPr lang="en-GB" sz="800">
                  <a:latin typeface="Arial" panose="020B0604020202020204" pitchFamily="34" charset="0"/>
                  <a:cs typeface="Arial" panose="020B0604020202020204" pitchFamily="34" charset="0"/>
                </a:rPr>
                <a:t>O</a:t>
              </a:r>
              <a:r>
                <a:rPr lang="en-GB" sz="800" baseline="-25000">
                  <a:latin typeface="Arial" panose="020B0604020202020204" pitchFamily="34" charset="0"/>
                  <a:cs typeface="Arial" panose="020B0604020202020204" pitchFamily="34" charset="0"/>
                </a:rPr>
                <a:t>eq</a:t>
              </a:r>
              <a:r>
                <a:rPr lang="en-GB" sz="800">
                  <a:latin typeface="Arial" panose="020B0604020202020204" pitchFamily="34" charset="0"/>
                  <a:cs typeface="Arial" panose="020B0604020202020204" pitchFamily="34" charset="0"/>
                </a:rPr>
                <a:t> [kg/m</a:t>
              </a:r>
              <a:r>
                <a:rPr lang="en-GB" sz="800" baseline="30000">
                  <a:latin typeface="Arial" panose="020B0604020202020204" pitchFamily="34" charset="0"/>
                  <a:cs typeface="Arial" panose="020B0604020202020204" pitchFamily="34" charset="0"/>
                </a:rPr>
                <a:t>3</a:t>
              </a:r>
              <a:r>
                <a:rPr lang="en-GB" sz="800">
                  <a:latin typeface="Arial" panose="020B0604020202020204" pitchFamily="34" charset="0"/>
                  <a:cs typeface="Arial" panose="020B0604020202020204" pitchFamily="34" charset="0"/>
                </a:rPr>
                <a:t>]</a:t>
              </a:r>
            </a:p>
          </xdr:txBody>
        </xdr:sp>
      </xdr:grpSp>
      <xdr:grpSp>
        <xdr:nvGrpSpPr>
          <xdr:cNvPr id="59" name="Group 58">
            <a:extLst>
              <a:ext uri="{FF2B5EF4-FFF2-40B4-BE49-F238E27FC236}">
                <a16:creationId xmlns:a16="http://schemas.microsoft.com/office/drawing/2014/main" id="{45A9FBBD-B81C-4938-877D-50B5D7B29E99}"/>
              </a:ext>
            </a:extLst>
          </xdr:cNvPr>
          <xdr:cNvGrpSpPr/>
        </xdr:nvGrpSpPr>
        <xdr:grpSpPr>
          <a:xfrm>
            <a:off x="6256735" y="6018610"/>
            <a:ext cx="2871995" cy="3240000"/>
            <a:chOff x="6267820" y="9354207"/>
            <a:chExt cx="2871995" cy="3240000"/>
          </a:xfrm>
        </xdr:grpSpPr>
        <xdr:graphicFrame macro="">
          <xdr:nvGraphicFramePr>
            <xdr:cNvPr id="60" name="Chart 59">
              <a:extLst>
                <a:ext uri="{FF2B5EF4-FFF2-40B4-BE49-F238E27FC236}">
                  <a16:creationId xmlns:a16="http://schemas.microsoft.com/office/drawing/2014/main" id="{04BA5693-1151-8E02-6269-68A9C11DE2F6}"/>
                </a:ext>
              </a:extLst>
            </xdr:cNvPr>
            <xdr:cNvGraphicFramePr>
              <a:graphicFrameLocks/>
            </xdr:cNvGraphicFramePr>
          </xdr:nvGraphicFramePr>
          <xdr:xfrm>
            <a:off x="6267820" y="9354207"/>
            <a:ext cx="2871995" cy="32400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3"/>
            </a:graphicData>
          </a:graphic>
        </xdr:graphicFrame>
        <xdr:sp macro="" textlink="">
          <xdr:nvSpPr>
            <xdr:cNvPr id="61" name="TextBox 60">
              <a:extLst>
                <a:ext uri="{FF2B5EF4-FFF2-40B4-BE49-F238E27FC236}">
                  <a16:creationId xmlns:a16="http://schemas.microsoft.com/office/drawing/2014/main" id="{0BA25972-2974-764A-F1B3-EFFD8B13F31F}"/>
                </a:ext>
              </a:extLst>
            </xdr:cNvPr>
            <xdr:cNvSpPr txBox="1"/>
          </xdr:nvSpPr>
          <xdr:spPr>
            <a:xfrm>
              <a:off x="6525564" y="9442975"/>
              <a:ext cx="906663" cy="170447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36000" tIns="36000" rIns="36000" bIns="36000" rtlCol="0" anchor="t"/>
            <a:lstStyle/>
            <a:p>
              <a:r>
                <a:rPr lang="en-GB" sz="800">
                  <a:latin typeface="Arial" panose="020B0604020202020204" pitchFamily="34" charset="0"/>
                  <a:cs typeface="Arial" panose="020B0604020202020204" pitchFamily="34" charset="0"/>
                </a:rPr>
                <a:t>Na</a:t>
              </a:r>
              <a:r>
                <a:rPr lang="en-GB" sz="800" baseline="-25000">
                  <a:latin typeface="Arial" panose="020B0604020202020204" pitchFamily="34" charset="0"/>
                  <a:cs typeface="Arial" panose="020B0604020202020204" pitchFamily="34" charset="0"/>
                </a:rPr>
                <a:t>2</a:t>
              </a:r>
              <a:r>
                <a:rPr lang="en-GB" sz="800">
                  <a:latin typeface="Arial" panose="020B0604020202020204" pitchFamily="34" charset="0"/>
                  <a:cs typeface="Arial" panose="020B0604020202020204" pitchFamily="34" charset="0"/>
                </a:rPr>
                <a:t>O</a:t>
              </a:r>
              <a:r>
                <a:rPr lang="en-GB" sz="800" baseline="-25000">
                  <a:latin typeface="Arial" panose="020B0604020202020204" pitchFamily="34" charset="0"/>
                  <a:cs typeface="Arial" panose="020B0604020202020204" pitchFamily="34" charset="0"/>
                </a:rPr>
                <a:t>eq</a:t>
              </a:r>
              <a:r>
                <a:rPr lang="en-GB" sz="800">
                  <a:latin typeface="Arial" panose="020B0604020202020204" pitchFamily="34" charset="0"/>
                  <a:cs typeface="Arial" panose="020B0604020202020204" pitchFamily="34" charset="0"/>
                </a:rPr>
                <a:t> [% of total]</a:t>
              </a:r>
            </a:p>
          </xdr:txBody>
        </xdr:sp>
        <xdr:sp macro="" textlink="">
          <xdr:nvSpPr>
            <xdr:cNvPr id="62" name="TextBox 61">
              <a:extLst>
                <a:ext uri="{FF2B5EF4-FFF2-40B4-BE49-F238E27FC236}">
                  <a16:creationId xmlns:a16="http://schemas.microsoft.com/office/drawing/2014/main" id="{DDF57D9D-A30D-28FE-AFBD-37FF71107ACA}"/>
                </a:ext>
              </a:extLst>
            </xdr:cNvPr>
            <xdr:cNvSpPr txBox="1"/>
          </xdr:nvSpPr>
          <xdr:spPr>
            <a:xfrm>
              <a:off x="7237465" y="12061426"/>
              <a:ext cx="380039" cy="103271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36000" tIns="36000" rIns="36000" bIns="36000" rtlCol="0" anchor="ctr" anchorCtr="0"/>
            <a:lstStyle/>
            <a:p>
              <a:pPr algn="ctr"/>
              <a:r>
                <a:rPr lang="en-GB" sz="800">
                  <a:solidFill>
                    <a:srgbClr val="00B0F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LA-GB</a:t>
              </a:r>
            </a:p>
          </xdr:txBody>
        </xdr:sp>
        <xdr:sp macro="" textlink="">
          <xdr:nvSpPr>
            <xdr:cNvPr id="63" name="TextBox 62">
              <a:extLst>
                <a:ext uri="{FF2B5EF4-FFF2-40B4-BE49-F238E27FC236}">
                  <a16:creationId xmlns:a16="http://schemas.microsoft.com/office/drawing/2014/main" id="{CB6EBC93-C326-6B49-6992-64CC9D7948A6}"/>
                </a:ext>
              </a:extLst>
            </xdr:cNvPr>
            <xdr:cNvSpPr txBox="1"/>
          </xdr:nvSpPr>
          <xdr:spPr>
            <a:xfrm>
              <a:off x="8314320" y="11010225"/>
              <a:ext cx="445582" cy="138065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36000" tIns="36000" rIns="36000" bIns="36000" rtlCol="0" anchor="ctr" anchorCtr="0"/>
            <a:lstStyle/>
            <a:p>
              <a:pPr algn="ctr"/>
              <a:r>
                <a:rPr lang="en-GB" sz="800">
                  <a:solidFill>
                    <a:schemeClr val="accent6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LA-BA1</a:t>
              </a:r>
            </a:p>
          </xdr:txBody>
        </xdr:sp>
        <xdr:sp macro="" textlink="">
          <xdr:nvSpPr>
            <xdr:cNvPr id="64" name="TextBox 63">
              <a:extLst>
                <a:ext uri="{FF2B5EF4-FFF2-40B4-BE49-F238E27FC236}">
                  <a16:creationId xmlns:a16="http://schemas.microsoft.com/office/drawing/2014/main" id="{819EDE7E-1BEC-81E8-97BD-129000C5796B}"/>
                </a:ext>
              </a:extLst>
            </xdr:cNvPr>
            <xdr:cNvSpPr txBox="1"/>
          </xdr:nvSpPr>
          <xdr:spPr>
            <a:xfrm>
              <a:off x="8432608" y="10681227"/>
              <a:ext cx="422335" cy="134743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36000" tIns="36000" rIns="36000" bIns="36000" rtlCol="0" anchor="ctr" anchorCtr="0"/>
            <a:lstStyle/>
            <a:p>
              <a:pPr algn="ctr"/>
              <a:r>
                <a:rPr lang="en-GB" sz="800">
                  <a:solidFill>
                    <a:schemeClr val="accent6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LA-BA2</a:t>
              </a:r>
            </a:p>
          </xdr:txBody>
        </xdr:sp>
        <xdr:sp macro="" textlink="">
          <xdr:nvSpPr>
            <xdr:cNvPr id="65" name="TextBox 64">
              <a:extLst>
                <a:ext uri="{FF2B5EF4-FFF2-40B4-BE49-F238E27FC236}">
                  <a16:creationId xmlns:a16="http://schemas.microsoft.com/office/drawing/2014/main" id="{6FDF18DC-75F9-3BC8-7EAC-41E2EE4324D7}"/>
                </a:ext>
              </a:extLst>
            </xdr:cNvPr>
            <xdr:cNvSpPr txBox="1"/>
          </xdr:nvSpPr>
          <xdr:spPr>
            <a:xfrm>
              <a:off x="8316004" y="10466798"/>
              <a:ext cx="395267" cy="134743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36000" tIns="36000" rIns="36000" bIns="36000" rtlCol="0" anchor="ctr" anchorCtr="0"/>
            <a:lstStyle/>
            <a:p>
              <a:pPr algn="ctr"/>
              <a:r>
                <a:rPr lang="en-GB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LA-Ref</a:t>
              </a:r>
            </a:p>
          </xdr:txBody>
        </xdr:sp>
        <xdr:sp macro="" textlink="">
          <xdr:nvSpPr>
            <xdr:cNvPr id="66" name="TextBox 65">
              <a:extLst>
                <a:ext uri="{FF2B5EF4-FFF2-40B4-BE49-F238E27FC236}">
                  <a16:creationId xmlns:a16="http://schemas.microsoft.com/office/drawing/2014/main" id="{017C3877-88D9-97C6-1DCB-959A37794772}"/>
                </a:ext>
              </a:extLst>
            </xdr:cNvPr>
            <xdr:cNvSpPr txBox="1"/>
          </xdr:nvSpPr>
          <xdr:spPr>
            <a:xfrm>
              <a:off x="7624730" y="10890910"/>
              <a:ext cx="410549" cy="134743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36000" tIns="36000" rIns="36000" bIns="36000" rtlCol="0" anchor="ctr" anchorCtr="0"/>
            <a:lstStyle/>
            <a:p>
              <a:pPr algn="ctr"/>
              <a:r>
                <a:rPr lang="en-GB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HA-Ref</a:t>
              </a:r>
            </a:p>
          </xdr:txBody>
        </xdr:sp>
        <xdr:sp macro="" textlink="">
          <xdr:nvSpPr>
            <xdr:cNvPr id="67" name="TextBox 66">
              <a:extLst>
                <a:ext uri="{FF2B5EF4-FFF2-40B4-BE49-F238E27FC236}">
                  <a16:creationId xmlns:a16="http://schemas.microsoft.com/office/drawing/2014/main" id="{C5E0565C-A3A9-8937-349E-DBE991959255}"/>
                </a:ext>
              </a:extLst>
            </xdr:cNvPr>
            <xdr:cNvSpPr txBox="1"/>
          </xdr:nvSpPr>
          <xdr:spPr>
            <a:xfrm>
              <a:off x="8290909" y="12054586"/>
              <a:ext cx="398851" cy="134743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36000" tIns="36000" rIns="36000" bIns="36000" rtlCol="0" anchor="ctr" anchorCtr="0"/>
            <a:lstStyle/>
            <a:p>
              <a:pPr algn="ctr"/>
              <a:r>
                <a:rPr lang="en-GB" sz="800">
                  <a:solidFill>
                    <a:schemeClr val="accent4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HA-CC</a:t>
              </a:r>
            </a:p>
          </xdr:txBody>
        </xdr:sp>
        <xdr:sp macro="" textlink="">
          <xdr:nvSpPr>
            <xdr:cNvPr id="68" name="TextBox 67">
              <a:extLst>
                <a:ext uri="{FF2B5EF4-FFF2-40B4-BE49-F238E27FC236}">
                  <a16:creationId xmlns:a16="http://schemas.microsoft.com/office/drawing/2014/main" id="{17103D93-41F2-49CA-DEBF-0E554DBB08DC}"/>
                </a:ext>
              </a:extLst>
            </xdr:cNvPr>
            <xdr:cNvSpPr txBox="1"/>
          </xdr:nvSpPr>
          <xdr:spPr>
            <a:xfrm>
              <a:off x="8294173" y="11457854"/>
              <a:ext cx="450605" cy="134743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36000" tIns="36000" rIns="36000" bIns="36000" rtlCol="0" anchor="ctr" anchorCtr="0"/>
            <a:lstStyle/>
            <a:p>
              <a:pPr algn="ctr"/>
              <a:r>
                <a:rPr lang="en-GB" sz="800">
                  <a:solidFill>
                    <a:srgbClr val="FF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HA-SSA</a:t>
              </a:r>
            </a:p>
          </xdr:txBody>
        </xdr:sp>
        <xdr:sp macro="" textlink="">
          <xdr:nvSpPr>
            <xdr:cNvPr id="69" name="TextBox 68">
              <a:extLst>
                <a:ext uri="{FF2B5EF4-FFF2-40B4-BE49-F238E27FC236}">
                  <a16:creationId xmlns:a16="http://schemas.microsoft.com/office/drawing/2014/main" id="{A6A98B81-4A72-8F2C-F84A-F13C0FB1A12D}"/>
                </a:ext>
              </a:extLst>
            </xdr:cNvPr>
            <xdr:cNvSpPr txBox="1"/>
          </xdr:nvSpPr>
          <xdr:spPr>
            <a:xfrm>
              <a:off x="8283288" y="11808842"/>
              <a:ext cx="397534" cy="134743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36000" tIns="36000" rIns="36000" bIns="36000" rtlCol="0" anchor="ctr" anchorCtr="0"/>
            <a:lstStyle/>
            <a:p>
              <a:pPr algn="ctr"/>
              <a:r>
                <a:rPr lang="en-GB" sz="800">
                  <a:solidFill>
                    <a:schemeClr val="accent2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HA-CB</a:t>
              </a:r>
            </a:p>
          </xdr:txBody>
        </xdr:sp>
        <xdr:sp macro="" textlink="">
          <xdr:nvSpPr>
            <xdr:cNvPr id="70" name="TextBox 69">
              <a:extLst>
                <a:ext uri="{FF2B5EF4-FFF2-40B4-BE49-F238E27FC236}">
                  <a16:creationId xmlns:a16="http://schemas.microsoft.com/office/drawing/2014/main" id="{2149C58A-93E0-6ADB-DA1F-B53D1EE28B5D}"/>
                </a:ext>
              </a:extLst>
            </xdr:cNvPr>
            <xdr:cNvSpPr txBox="1"/>
          </xdr:nvSpPr>
          <xdr:spPr>
            <a:xfrm>
              <a:off x="8298790" y="11956899"/>
              <a:ext cx="376043" cy="111619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36000" tIns="36000" rIns="36000" bIns="36000" rtlCol="0" anchor="ctr" anchorCtr="0"/>
            <a:lstStyle/>
            <a:p>
              <a:pPr algn="ctr"/>
              <a:r>
                <a:rPr lang="en-GB" sz="800">
                  <a:solidFill>
                    <a:schemeClr val="bg1">
                      <a:lumMod val="75000"/>
                    </a:schemeClr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HA-FA</a:t>
              </a:r>
            </a:p>
          </xdr:txBody>
        </xdr:sp>
      </xdr:grpSp>
    </xdr:grpSp>
    <xdr:clientData/>
  </xdr:twoCellAnchor>
  <xdr:twoCellAnchor>
    <xdr:from>
      <xdr:col>0</xdr:col>
      <xdr:colOff>246124</xdr:colOff>
      <xdr:row>0</xdr:row>
      <xdr:rowOff>127418</xdr:rowOff>
    </xdr:from>
    <xdr:to>
      <xdr:col>7</xdr:col>
      <xdr:colOff>250783</xdr:colOff>
      <xdr:row>17</xdr:row>
      <xdr:rowOff>128918</xdr:rowOff>
    </xdr:to>
    <xdr:grpSp>
      <xdr:nvGrpSpPr>
        <xdr:cNvPr id="24" name="Group 23">
          <a:extLst>
            <a:ext uri="{FF2B5EF4-FFF2-40B4-BE49-F238E27FC236}">
              <a16:creationId xmlns:a16="http://schemas.microsoft.com/office/drawing/2014/main" id="{3E3A0A70-0CA9-C0B7-BBA8-4143484E10D5}"/>
            </a:ext>
          </a:extLst>
        </xdr:cNvPr>
        <xdr:cNvGrpSpPr/>
      </xdr:nvGrpSpPr>
      <xdr:grpSpPr>
        <a:xfrm>
          <a:off x="246124" y="127418"/>
          <a:ext cx="5928302" cy="3085786"/>
          <a:chOff x="246124" y="6032918"/>
          <a:chExt cx="5798487" cy="3240000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8BCB125C-CD5D-438C-A9C4-C00C94C219B6}"/>
              </a:ext>
            </a:extLst>
          </xdr:cNvPr>
          <xdr:cNvGraphicFramePr>
            <a:graphicFrameLocks/>
          </xdr:cNvGraphicFramePr>
        </xdr:nvGraphicFramePr>
        <xdr:xfrm>
          <a:off x="246124" y="6032918"/>
          <a:ext cx="5798487" cy="324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12" name="TextBox 11">
            <a:extLst>
              <a:ext uri="{FF2B5EF4-FFF2-40B4-BE49-F238E27FC236}">
                <a16:creationId xmlns:a16="http://schemas.microsoft.com/office/drawing/2014/main" id="{1F22A852-8722-433B-9B1C-D41154FCF341}"/>
              </a:ext>
            </a:extLst>
          </xdr:cNvPr>
          <xdr:cNvSpPr txBox="1"/>
        </xdr:nvSpPr>
        <xdr:spPr>
          <a:xfrm>
            <a:off x="4630174" y="7633928"/>
            <a:ext cx="411549" cy="134743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36000" rIns="36000" bIns="36000" rtlCol="0" anchor="ctr" anchorCtr="0"/>
          <a:lstStyle/>
          <a:p>
            <a:pPr algn="ctr"/>
            <a:r>
              <a:rPr lang="en-GB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HA-Ref</a:t>
            </a:r>
          </a:p>
        </xdr:txBody>
      </xdr:sp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45408D0D-2183-4DF3-A417-767E4126C28A}"/>
              </a:ext>
            </a:extLst>
          </xdr:cNvPr>
          <xdr:cNvSpPr txBox="1"/>
        </xdr:nvSpPr>
        <xdr:spPr>
          <a:xfrm>
            <a:off x="4629212" y="7760407"/>
            <a:ext cx="424600" cy="134743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36000" rIns="36000" bIns="36000" rtlCol="0" anchor="ctr" anchorCtr="0"/>
          <a:lstStyle/>
          <a:p>
            <a:pPr algn="ctr"/>
            <a:r>
              <a:rPr lang="en-GB" sz="800">
                <a:solidFill>
                  <a:schemeClr val="accent6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LA-BA1</a:t>
            </a:r>
          </a:p>
        </xdr:txBody>
      </xdr:sp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id="{74604EA4-229F-43AD-8E11-3BE944E2C812}"/>
              </a:ext>
            </a:extLst>
          </xdr:cNvPr>
          <xdr:cNvSpPr txBox="1"/>
        </xdr:nvSpPr>
        <xdr:spPr>
          <a:xfrm>
            <a:off x="4634248" y="8031289"/>
            <a:ext cx="424600" cy="134743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36000" rIns="36000" bIns="36000" rtlCol="0" anchor="ctr" anchorCtr="0"/>
          <a:lstStyle/>
          <a:p>
            <a:pPr algn="ctr"/>
            <a:r>
              <a:rPr lang="en-GB" sz="800">
                <a:solidFill>
                  <a:schemeClr val="accent6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LA-BA2</a:t>
            </a:r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:a16="http://schemas.microsoft.com/office/drawing/2014/main" id="{AA89BAD7-96CB-4994-AD49-5CE6B60FCCA8}"/>
              </a:ext>
            </a:extLst>
          </xdr:cNvPr>
          <xdr:cNvSpPr txBox="1"/>
        </xdr:nvSpPr>
        <xdr:spPr>
          <a:xfrm>
            <a:off x="4637246" y="7916566"/>
            <a:ext cx="401514" cy="134743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36000" rIns="36000" bIns="36000" rtlCol="0" anchor="ctr" anchorCtr="0"/>
          <a:lstStyle/>
          <a:p>
            <a:pPr algn="ctr"/>
            <a:r>
              <a:rPr lang="en-GB" sz="800">
                <a:solidFill>
                  <a:srgbClr val="00B0F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LA-GB</a:t>
            </a: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:a16="http://schemas.microsoft.com/office/drawing/2014/main" id="{44E11057-867C-4447-B5D2-31A42EA92500}"/>
              </a:ext>
            </a:extLst>
          </xdr:cNvPr>
          <xdr:cNvSpPr txBox="1"/>
        </xdr:nvSpPr>
        <xdr:spPr>
          <a:xfrm>
            <a:off x="4647244" y="8500804"/>
            <a:ext cx="424600" cy="13209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36000" rIns="36000" bIns="36000" rtlCol="0" anchor="ctr" anchorCtr="0"/>
          <a:lstStyle/>
          <a:p>
            <a:pPr algn="ctr"/>
            <a:r>
              <a:rPr lang="en-GB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LA-Ref</a:t>
            </a:r>
          </a:p>
        </xdr:txBody>
      </xdr:sp>
      <xdr:sp macro="" textlink="">
        <xdr:nvSpPr>
          <xdr:cNvPr id="17" name="TextBox 16">
            <a:extLst>
              <a:ext uri="{FF2B5EF4-FFF2-40B4-BE49-F238E27FC236}">
                <a16:creationId xmlns:a16="http://schemas.microsoft.com/office/drawing/2014/main" id="{B7DE33D9-8F21-42A3-B2D3-E05C6AFB465A}"/>
              </a:ext>
            </a:extLst>
          </xdr:cNvPr>
          <xdr:cNvSpPr txBox="1"/>
        </xdr:nvSpPr>
        <xdr:spPr>
          <a:xfrm>
            <a:off x="4629543" y="8643353"/>
            <a:ext cx="464751" cy="1242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36000" rIns="36000" bIns="36000" rtlCol="0" anchor="ctr" anchorCtr="0"/>
          <a:lstStyle/>
          <a:p>
            <a:pPr algn="ctr"/>
            <a:r>
              <a:rPr lang="en-GB" sz="800">
                <a:solidFill>
                  <a:schemeClr val="accent4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HA-CC1</a:t>
            </a:r>
          </a:p>
        </xdr:txBody>
      </xdr:sp>
      <xdr:sp macro="" textlink="">
        <xdr:nvSpPr>
          <xdr:cNvPr id="18" name="TextBox 17">
            <a:extLst>
              <a:ext uri="{FF2B5EF4-FFF2-40B4-BE49-F238E27FC236}">
                <a16:creationId xmlns:a16="http://schemas.microsoft.com/office/drawing/2014/main" id="{38C4B23E-22D9-4D9D-8223-B893816E4F6B}"/>
              </a:ext>
            </a:extLst>
          </xdr:cNvPr>
          <xdr:cNvSpPr txBox="1"/>
        </xdr:nvSpPr>
        <xdr:spPr>
          <a:xfrm>
            <a:off x="2389312" y="8572499"/>
            <a:ext cx="474333" cy="96207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36000" rIns="36000" bIns="36000" rtlCol="0" anchor="ctr" anchorCtr="0"/>
          <a:lstStyle/>
          <a:p>
            <a:pPr algn="ctr"/>
            <a:r>
              <a:rPr lang="en-GB" sz="800">
                <a:solidFill>
                  <a:srgbClr val="FF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HA-SSA</a:t>
            </a:r>
          </a:p>
        </xdr:txBody>
      </xdr:sp>
      <xdr:sp macro="" textlink="">
        <xdr:nvSpPr>
          <xdr:cNvPr id="19" name="TextBox 18">
            <a:extLst>
              <a:ext uri="{FF2B5EF4-FFF2-40B4-BE49-F238E27FC236}">
                <a16:creationId xmlns:a16="http://schemas.microsoft.com/office/drawing/2014/main" id="{D55221F3-F475-44EA-8F59-8670262069F0}"/>
              </a:ext>
            </a:extLst>
          </xdr:cNvPr>
          <xdr:cNvSpPr txBox="1"/>
        </xdr:nvSpPr>
        <xdr:spPr>
          <a:xfrm>
            <a:off x="3057576" y="8605024"/>
            <a:ext cx="411551" cy="10222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36000" rIns="36000" bIns="36000" rtlCol="0" anchor="ctr" anchorCtr="0"/>
          <a:lstStyle/>
          <a:p>
            <a:pPr algn="ctr"/>
            <a:r>
              <a:rPr lang="en-GB" sz="800">
                <a:solidFill>
                  <a:schemeClr val="bg1">
                    <a:lumMod val="75000"/>
                  </a:schemeClr>
                </a:solidFill>
                <a:latin typeface="Arial" panose="020B0604020202020204" pitchFamily="34" charset="0"/>
                <a:cs typeface="Arial" panose="020B0604020202020204" pitchFamily="34" charset="0"/>
              </a:rPr>
              <a:t>HA-FA</a:t>
            </a:r>
          </a:p>
        </xdr:txBody>
      </xdr:sp>
      <xdr:sp macro="" textlink="">
        <xdr:nvSpPr>
          <xdr:cNvPr id="20" name="TextBox 19">
            <a:extLst>
              <a:ext uri="{FF2B5EF4-FFF2-40B4-BE49-F238E27FC236}">
                <a16:creationId xmlns:a16="http://schemas.microsoft.com/office/drawing/2014/main" id="{970763FD-A8FB-4B7A-A2B1-F03350010737}"/>
              </a:ext>
            </a:extLst>
          </xdr:cNvPr>
          <xdr:cNvSpPr txBox="1"/>
        </xdr:nvSpPr>
        <xdr:spPr>
          <a:xfrm>
            <a:off x="1915628" y="8572500"/>
            <a:ext cx="464751" cy="11900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36000" rIns="36000" bIns="36000" rtlCol="0" anchor="ctr" anchorCtr="0"/>
          <a:lstStyle/>
          <a:p>
            <a:pPr algn="ctr"/>
            <a:r>
              <a:rPr lang="en-GB" sz="800">
                <a:solidFill>
                  <a:schemeClr val="accent4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HA-CC2</a:t>
            </a:r>
          </a:p>
        </xdr:txBody>
      </xdr:sp>
      <xdr:sp macro="" textlink="">
        <xdr:nvSpPr>
          <xdr:cNvPr id="21" name="TextBox 20">
            <a:extLst>
              <a:ext uri="{FF2B5EF4-FFF2-40B4-BE49-F238E27FC236}">
                <a16:creationId xmlns:a16="http://schemas.microsoft.com/office/drawing/2014/main" id="{7F6C2CDF-03EA-43E4-BC7C-350068C9ECF8}"/>
              </a:ext>
            </a:extLst>
          </xdr:cNvPr>
          <xdr:cNvSpPr txBox="1"/>
        </xdr:nvSpPr>
        <xdr:spPr>
          <a:xfrm>
            <a:off x="3695692" y="8558404"/>
            <a:ext cx="398502" cy="134743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36000" rIns="36000" bIns="36000" rtlCol="0" anchor="ctr" anchorCtr="0"/>
          <a:lstStyle/>
          <a:p>
            <a:pPr algn="ctr"/>
            <a:r>
              <a:rPr lang="en-GB" sz="800">
                <a:solidFill>
                  <a:schemeClr val="accent2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HA-CB</a:t>
            </a:r>
          </a:p>
        </xdr:txBody>
      </xdr:sp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422FB960-3E87-4E6C-9C5F-4EDFB551F0BB}"/>
              </a:ext>
            </a:extLst>
          </xdr:cNvPr>
          <xdr:cNvSpPr txBox="1"/>
        </xdr:nvSpPr>
        <xdr:spPr>
          <a:xfrm>
            <a:off x="4870675" y="8345195"/>
            <a:ext cx="942859" cy="12220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36000" tIns="36000" rIns="36000" bIns="36000" rtlCol="0" anchor="ctr" anchorCtr="0"/>
          <a:lstStyle/>
          <a:p>
            <a:pPr algn="ctr"/>
            <a:r>
              <a:rPr lang="en-GB" sz="8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Acceptance limit</a:t>
            </a:r>
          </a:p>
        </xdr:txBody>
      </xdr:sp>
    </xdr:grpSp>
    <xdr:clientData/>
  </xdr:twoCellAnchor>
  <xdr:twoCellAnchor>
    <xdr:from>
      <xdr:col>0</xdr:col>
      <xdr:colOff>157370</xdr:colOff>
      <xdr:row>110</xdr:row>
      <xdr:rowOff>8282</xdr:rowOff>
    </xdr:from>
    <xdr:to>
      <xdr:col>7</xdr:col>
      <xdr:colOff>241976</xdr:colOff>
      <xdr:row>126</xdr:row>
      <xdr:rowOff>64070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F15273-99BC-4AFB-9B81-E3BD357D9C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0</xdr:row>
      <xdr:rowOff>109537</xdr:rowOff>
    </xdr:from>
    <xdr:to>
      <xdr:col>11</xdr:col>
      <xdr:colOff>19050</xdr:colOff>
      <xdr:row>14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F03B98-FF2B-4383-A7D9-EC14D76AF0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E092A-E9B9-4540-8F9E-707F1C86A42D}">
  <dimension ref="A1"/>
  <sheetViews>
    <sheetView tabSelected="1" zoomScale="70" zoomScaleNormal="70" workbookViewId="0">
      <selection activeCell="D22" sqref="D22"/>
    </sheetView>
  </sheetViews>
  <sheetFormatPr defaultRowHeight="14.5" x14ac:dyDescent="0.35"/>
  <cols>
    <col min="2" max="2" width="20.81640625" bestFit="1" customWidth="1"/>
    <col min="3" max="3" width="15.453125" bestFit="1" customWidth="1"/>
    <col min="4" max="4" width="13.81640625" bestFit="1" customWidth="1"/>
  </cols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45C34-629A-40E6-B19D-D253A49823C5}">
  <sheetPr>
    <tabColor rgb="FFFF0000"/>
  </sheetPr>
  <dimension ref="A1:V36"/>
  <sheetViews>
    <sheetView zoomScale="55" zoomScaleNormal="55" workbookViewId="0">
      <selection activeCell="P38" sqref="P38"/>
    </sheetView>
  </sheetViews>
  <sheetFormatPr defaultColWidth="8.81640625" defaultRowHeight="14.5" x14ac:dyDescent="0.35"/>
  <cols>
    <col min="1" max="1" width="3.54296875" style="17" bestFit="1" customWidth="1"/>
    <col min="2" max="2" width="15.26953125" style="17" bestFit="1" customWidth="1"/>
    <col min="3" max="3" width="15.26953125" style="17" customWidth="1"/>
    <col min="4" max="4" width="13.7265625" style="17" bestFit="1" customWidth="1"/>
    <col min="5" max="5" width="13.81640625" style="17" bestFit="1" customWidth="1"/>
    <col min="6" max="7" width="13.81640625" style="17" customWidth="1"/>
    <col min="8" max="8" width="13.7265625" style="17" bestFit="1" customWidth="1"/>
    <col min="9" max="9" width="13.81640625" style="17" bestFit="1" customWidth="1"/>
    <col min="10" max="11" width="13.81640625" style="17" customWidth="1"/>
    <col min="12" max="12" width="14.7265625" style="17" bestFit="1" customWidth="1"/>
    <col min="13" max="13" width="13.81640625" style="17" bestFit="1" customWidth="1"/>
    <col min="14" max="15" width="13.81640625" style="17" customWidth="1"/>
    <col min="16" max="16" width="17.26953125" style="17" bestFit="1" customWidth="1"/>
    <col min="17" max="17" width="16.26953125" style="17" bestFit="1" customWidth="1"/>
    <col min="18" max="18" width="18.26953125" style="17" customWidth="1"/>
    <col min="19" max="19" width="16.453125" style="17" bestFit="1" customWidth="1"/>
    <col min="20" max="20" width="15.1796875" style="17" bestFit="1" customWidth="1"/>
    <col min="21" max="21" width="16.26953125" style="17" bestFit="1" customWidth="1"/>
    <col min="22" max="22" width="18.7265625" style="17" bestFit="1" customWidth="1"/>
    <col min="23" max="16384" width="8.81640625" style="17"/>
  </cols>
  <sheetData>
    <row r="1" spans="1:20" x14ac:dyDescent="0.35">
      <c r="B1" s="41" t="s">
        <v>37</v>
      </c>
      <c r="C1" s="41"/>
    </row>
    <row r="3" spans="1:20" ht="14.5" customHeight="1" x14ac:dyDescent="0.35">
      <c r="B3" s="42" t="s">
        <v>3</v>
      </c>
      <c r="C3" s="43"/>
      <c r="D3" s="46" t="s">
        <v>31</v>
      </c>
      <c r="E3" s="53"/>
      <c r="F3" s="53"/>
      <c r="G3" s="47"/>
      <c r="H3" s="46" t="s">
        <v>32</v>
      </c>
      <c r="I3" s="53"/>
      <c r="J3" s="53"/>
      <c r="K3" s="47"/>
      <c r="L3" s="46" t="s">
        <v>33</v>
      </c>
      <c r="M3" s="53"/>
      <c r="N3" s="53"/>
      <c r="O3" s="47"/>
      <c r="P3" s="51" t="s">
        <v>103</v>
      </c>
      <c r="Q3" s="39" t="s">
        <v>82</v>
      </c>
      <c r="R3" s="51" t="s">
        <v>38</v>
      </c>
      <c r="S3" s="51" t="s">
        <v>81</v>
      </c>
      <c r="T3" s="39" t="s">
        <v>82</v>
      </c>
    </row>
    <row r="4" spans="1:20" ht="14.5" customHeight="1" x14ac:dyDescent="0.35">
      <c r="B4" s="44"/>
      <c r="C4" s="45"/>
      <c r="D4" s="1" t="s">
        <v>80</v>
      </c>
      <c r="E4" s="1" t="s">
        <v>102</v>
      </c>
      <c r="F4" s="15" t="s">
        <v>15</v>
      </c>
      <c r="G4" s="15" t="s">
        <v>83</v>
      </c>
      <c r="H4" s="1" t="s">
        <v>80</v>
      </c>
      <c r="I4" s="1" t="s">
        <v>102</v>
      </c>
      <c r="J4" s="15" t="s">
        <v>15</v>
      </c>
      <c r="K4" s="15" t="s">
        <v>83</v>
      </c>
      <c r="L4" s="1" t="s">
        <v>80</v>
      </c>
      <c r="M4" s="1" t="s">
        <v>102</v>
      </c>
      <c r="N4" s="15" t="s">
        <v>15</v>
      </c>
      <c r="O4" s="15" t="s">
        <v>83</v>
      </c>
      <c r="P4" s="51"/>
      <c r="Q4" s="39"/>
      <c r="R4" s="51"/>
      <c r="S4" s="51"/>
      <c r="T4" s="39"/>
    </row>
    <row r="5" spans="1:20" ht="16.5" x14ac:dyDescent="0.35">
      <c r="A5" s="20"/>
      <c r="B5" s="46" t="s">
        <v>1</v>
      </c>
      <c r="C5" s="47"/>
      <c r="D5" s="39">
        <v>400</v>
      </c>
      <c r="E5" s="39"/>
      <c r="F5" s="1"/>
      <c r="G5" s="1"/>
      <c r="H5" s="39">
        <v>400</v>
      </c>
      <c r="I5" s="39"/>
      <c r="J5" s="1"/>
      <c r="K5" s="1"/>
      <c r="L5" s="39">
        <v>400</v>
      </c>
      <c r="M5" s="39"/>
      <c r="N5" s="1"/>
      <c r="O5" s="1"/>
      <c r="P5" s="2"/>
      <c r="Q5" s="2"/>
      <c r="R5" s="2"/>
      <c r="S5" s="2"/>
      <c r="T5" s="2"/>
    </row>
    <row r="6" spans="1:20" x14ac:dyDescent="0.35">
      <c r="A6" s="20"/>
      <c r="B6" s="46" t="s">
        <v>2</v>
      </c>
      <c r="C6" s="47"/>
      <c r="D6" s="7">
        <v>-4.4625000000000004</v>
      </c>
      <c r="E6" s="5">
        <f>100*(D7-$D$6)/$D$5</f>
        <v>1.5750000000000153E-2</v>
      </c>
      <c r="F6" s="16">
        <v>9447.2000000000007</v>
      </c>
      <c r="G6" s="16"/>
      <c r="H6" s="7">
        <v>-3.8664999999999998</v>
      </c>
      <c r="I6" s="5">
        <f>100*(H7-$H$6)/$H$5</f>
        <v>1.5374999999999917E-2</v>
      </c>
      <c r="J6" s="16">
        <v>9500</v>
      </c>
      <c r="K6" s="16"/>
      <c r="L6" s="7">
        <v>-3.9165000000000001</v>
      </c>
      <c r="M6" s="5">
        <f>100*(L7-$L$6)/$L$5</f>
        <v>2.6000000000000023E-2</v>
      </c>
      <c r="N6" s="16">
        <v>9414.7000000000007</v>
      </c>
      <c r="O6" s="16"/>
      <c r="P6" s="6">
        <f>IF(ISBLANK(D6),NA(),AVERAGE(E6,I6,M6))</f>
        <v>1.9041666666666696E-2</v>
      </c>
      <c r="Q6" s="6">
        <f>IF(ISBLANK(D6),NA(),_xlfn.STDEV.P(E6,I6,M6))</f>
        <v>4.9226658315275566E-3</v>
      </c>
      <c r="R6" s="24"/>
      <c r="S6" s="2"/>
      <c r="T6" s="2"/>
    </row>
    <row r="7" spans="1:20" ht="15" customHeight="1" x14ac:dyDescent="0.35">
      <c r="A7" s="52" t="s">
        <v>0</v>
      </c>
      <c r="B7" s="1">
        <v>1</v>
      </c>
      <c r="C7" s="4">
        <v>44588</v>
      </c>
      <c r="D7" s="7">
        <v>-4.3994999999999997</v>
      </c>
      <c r="E7" s="3">
        <f>IF(ISBLANK(D7),NA(),100*(D7-$D$7)/$D$5)</f>
        <v>0</v>
      </c>
      <c r="F7" s="16">
        <v>9443.9</v>
      </c>
      <c r="G7" s="3">
        <f>IF(ISBLANK(F7),NA(),100*(F7-$F$7)/$F$7)</f>
        <v>0</v>
      </c>
      <c r="H7" s="7">
        <v>-3.8050000000000002</v>
      </c>
      <c r="I7" s="3">
        <f>IF(ISBLANK(H7),NA(),100*(H7-$H$7)/$H$5)</f>
        <v>0</v>
      </c>
      <c r="J7" s="16">
        <v>9496.2000000000007</v>
      </c>
      <c r="K7" s="3">
        <f>IF(ISBLANK(J7),NA(),100*(J7-$J$7)/$J$7)</f>
        <v>0</v>
      </c>
      <c r="L7" s="7">
        <v>-3.8125</v>
      </c>
      <c r="M7" s="3">
        <f>100*(L7-$L$7)/$L$5</f>
        <v>0</v>
      </c>
      <c r="N7" s="16">
        <v>9412.2000000000007</v>
      </c>
      <c r="O7" s="3">
        <f>IF(ISBLANK(N7),NA(),100*(N7-$N$7)/$N$7)</f>
        <v>0</v>
      </c>
      <c r="P7" s="23">
        <f t="shared" ref="P7:P13" si="0">IF(ISBLANK(D7),NA(),AVERAGE(E7,I7,M7))</f>
        <v>0</v>
      </c>
      <c r="Q7" s="8">
        <f t="shared" ref="Q7:Q13" si="1">IF(ISBLANK(D7),NA(),_xlfn.STDEV.P(E7,I7,M7))</f>
        <v>0</v>
      </c>
      <c r="R7" s="8"/>
      <c r="S7" s="23">
        <f>AVERAGE(G7,K7,O7)</f>
        <v>0</v>
      </c>
      <c r="T7" s="9">
        <f>_xlfn.STDEV.P(G7,K7,O7)</f>
        <v>0</v>
      </c>
    </row>
    <row r="8" spans="1:20" x14ac:dyDescent="0.35">
      <c r="A8" s="52"/>
      <c r="B8" s="1">
        <f>IF(ISBLANK(C8),NA(),C8-C$7+1)</f>
        <v>7</v>
      </c>
      <c r="C8" s="4">
        <v>44594</v>
      </c>
      <c r="D8" s="7">
        <v>-4.4189999999999996</v>
      </c>
      <c r="E8" s="3">
        <f t="shared" ref="E8:E17" si="2">IF(ISBLANK(D8),NA(),100*(D8-$D$7)/$D$5)</f>
        <v>-4.8749999999999627E-3</v>
      </c>
      <c r="F8" s="16">
        <v>9444.9</v>
      </c>
      <c r="G8" s="3">
        <f t="shared" ref="G8:G17" si="3">IF(ISBLANK(F8),NA(),100*(F8-$F$7)/$F$7)</f>
        <v>1.0588845709929162E-2</v>
      </c>
      <c r="H8" s="7">
        <v>-3.8279999999999998</v>
      </c>
      <c r="I8" s="3">
        <f t="shared" ref="I8:I17" si="4">IF(ISBLANK(H8),NA(),100*(H8-$H$7)/$H$5)</f>
        <v>-5.7499999999999218E-3</v>
      </c>
      <c r="J8" s="16">
        <v>9494.2000000000007</v>
      </c>
      <c r="K8" s="3">
        <f t="shared" ref="K8:K17" si="5">IF(ISBLANK(J8),NA(),100*(J8-$J$7)/$J$7)</f>
        <v>-2.1061056001347906E-2</v>
      </c>
      <c r="L8" s="7">
        <v>-3.887</v>
      </c>
      <c r="M8" s="3">
        <f t="shared" ref="M8:M17" si="6">100*(L8-$L$7)/$L$5</f>
        <v>-1.8625000000000003E-2</v>
      </c>
      <c r="N8" s="16">
        <v>9410.2000000000007</v>
      </c>
      <c r="O8" s="3">
        <f t="shared" ref="O8:O17" si="7">IF(ISBLANK(N8),NA(),100*(N8-$N$7)/$N$7)</f>
        <v>-2.1249017232952975E-2</v>
      </c>
      <c r="P8" s="23">
        <f t="shared" si="0"/>
        <v>-9.7499999999999618E-3</v>
      </c>
      <c r="Q8" s="8">
        <f t="shared" si="1"/>
        <v>6.2857311958647273E-3</v>
      </c>
      <c r="R8" s="8"/>
      <c r="S8" s="23">
        <f t="shared" ref="S8:S14" si="8">AVERAGE(G8,K8,O8)</f>
        <v>-1.0573742508123906E-2</v>
      </c>
      <c r="T8" s="9">
        <f t="shared" ref="T8:T14" si="9">_xlfn.STDEV.P(G8,K8,O8)</f>
        <v>1.4964406379167546E-2</v>
      </c>
    </row>
    <row r="9" spans="1:20" x14ac:dyDescent="0.35">
      <c r="A9" s="52"/>
      <c r="B9" s="1">
        <f t="shared" ref="B9:B17" si="10">IF(ISBLANK(C9),NA(),C9-C$7+1)</f>
        <v>28</v>
      </c>
      <c r="C9" s="4">
        <v>44615</v>
      </c>
      <c r="D9" s="7">
        <v>-4.4130000000000003</v>
      </c>
      <c r="E9" s="3">
        <f t="shared" si="2"/>
        <v>-3.3750000000001279E-3</v>
      </c>
      <c r="F9" s="16">
        <v>9448.2999999999993</v>
      </c>
      <c r="G9" s="3">
        <f t="shared" si="3"/>
        <v>4.6590921123684459E-2</v>
      </c>
      <c r="H9" s="7">
        <v>-3.8119999999999998</v>
      </c>
      <c r="I9" s="3">
        <f t="shared" si="4"/>
        <v>-1.7499999999999183E-3</v>
      </c>
      <c r="J9" s="16">
        <v>9496.6</v>
      </c>
      <c r="K9" s="3">
        <f t="shared" si="5"/>
        <v>4.2122112002657506E-3</v>
      </c>
      <c r="L9" s="7">
        <v>-3.8730000000000002</v>
      </c>
      <c r="M9" s="3">
        <f t="shared" si="6"/>
        <v>-1.5125000000000055E-2</v>
      </c>
      <c r="N9" s="16">
        <v>9411.7000000000007</v>
      </c>
      <c r="O9" s="3">
        <f t="shared" si="7"/>
        <v>-5.3122543082382437E-3</v>
      </c>
      <c r="P9" s="23">
        <f t="shared" si="0"/>
        <v>-6.7500000000000338E-3</v>
      </c>
      <c r="Q9" s="8">
        <f t="shared" si="1"/>
        <v>5.9590617270394979E-3</v>
      </c>
      <c r="R9" s="8" t="s">
        <v>48</v>
      </c>
      <c r="S9" s="23">
        <f t="shared" si="8"/>
        <v>1.5163626005237322E-2</v>
      </c>
      <c r="T9" s="9">
        <f t="shared" si="9"/>
        <v>2.2560068257168449E-2</v>
      </c>
    </row>
    <row r="10" spans="1:20" x14ac:dyDescent="0.35">
      <c r="A10" s="52"/>
      <c r="B10" s="1">
        <f t="shared" si="10"/>
        <v>56</v>
      </c>
      <c r="C10" s="4">
        <v>44643</v>
      </c>
      <c r="D10" s="7">
        <v>-4.3970000000000002</v>
      </c>
      <c r="E10" s="3">
        <f t="shared" si="2"/>
        <v>6.2499999999987566E-4</v>
      </c>
      <c r="F10" s="16">
        <v>9452.7999999999993</v>
      </c>
      <c r="G10" s="3">
        <f t="shared" si="3"/>
        <v>9.4240726818365678E-2</v>
      </c>
      <c r="H10" s="7">
        <v>-3.8069999999999999</v>
      </c>
      <c r="I10" s="3">
        <f t="shared" si="4"/>
        <v>-4.9999999999994493E-4</v>
      </c>
      <c r="J10" s="16">
        <v>9498.5</v>
      </c>
      <c r="K10" s="3">
        <f t="shared" si="5"/>
        <v>2.4220214401542432E-2</v>
      </c>
      <c r="L10" s="7">
        <v>-3.8610000000000002</v>
      </c>
      <c r="M10" s="3">
        <f t="shared" si="6"/>
        <v>-1.2125000000000052E-2</v>
      </c>
      <c r="N10" s="16">
        <v>9414</v>
      </c>
      <c r="O10" s="3">
        <f t="shared" si="7"/>
        <v>1.9124115509649948E-2</v>
      </c>
      <c r="P10" s="23">
        <f t="shared" si="0"/>
        <v>-4.0000000000000408E-3</v>
      </c>
      <c r="Q10" s="8">
        <f t="shared" si="1"/>
        <v>5.7635709416992533E-3</v>
      </c>
      <c r="R10" s="8"/>
      <c r="S10" s="23">
        <f t="shared" si="8"/>
        <v>4.5861685576519352E-2</v>
      </c>
      <c r="T10" s="9">
        <f t="shared" si="9"/>
        <v>3.4272353090979792E-2</v>
      </c>
    </row>
    <row r="11" spans="1:20" x14ac:dyDescent="0.35">
      <c r="A11" s="52"/>
      <c r="B11" s="1">
        <f t="shared" si="10"/>
        <v>83</v>
      </c>
      <c r="C11" s="4">
        <v>44670</v>
      </c>
      <c r="D11" s="7">
        <v>-4.4050000000000002</v>
      </c>
      <c r="E11" s="3">
        <f t="shared" si="2"/>
        <v>-1.3750000000001261E-3</v>
      </c>
      <c r="F11" s="16">
        <v>9456.2999999999993</v>
      </c>
      <c r="G11" s="3">
        <f t="shared" si="3"/>
        <v>0.13130168680311774</v>
      </c>
      <c r="H11" s="7">
        <v>-3.8140000000000001</v>
      </c>
      <c r="I11" s="3">
        <f t="shared" si="4"/>
        <v>-2.2499999999999742E-3</v>
      </c>
      <c r="J11" s="16">
        <v>9500.5</v>
      </c>
      <c r="K11" s="3">
        <f t="shared" si="5"/>
        <v>4.5281270402890338E-2</v>
      </c>
      <c r="L11" s="7">
        <v>-3.8690000000000002</v>
      </c>
      <c r="M11" s="3">
        <f t="shared" si="6"/>
        <v>-1.4125000000000054E-2</v>
      </c>
      <c r="N11" s="16">
        <v>9416.2000000000007</v>
      </c>
      <c r="O11" s="3">
        <f t="shared" si="7"/>
        <v>4.249803446590595E-2</v>
      </c>
      <c r="P11" s="23">
        <f t="shared" si="0"/>
        <v>-5.9166666666667185E-3</v>
      </c>
      <c r="Q11" s="8">
        <f t="shared" si="1"/>
        <v>5.815150232128332E-3</v>
      </c>
      <c r="R11" s="8"/>
      <c r="S11" s="23">
        <f t="shared" si="8"/>
        <v>7.3026997223971338E-2</v>
      </c>
      <c r="T11" s="9">
        <f t="shared" si="9"/>
        <v>4.1222091041330691E-2</v>
      </c>
    </row>
    <row r="12" spans="1:20" x14ac:dyDescent="0.35">
      <c r="A12" s="52"/>
      <c r="B12" s="1">
        <f t="shared" si="10"/>
        <v>191</v>
      </c>
      <c r="C12" s="4">
        <v>44778</v>
      </c>
      <c r="D12" s="7">
        <v>-4.3899999999999997</v>
      </c>
      <c r="E12" s="3">
        <f t="shared" si="2"/>
        <v>2.375000000000016E-3</v>
      </c>
      <c r="F12" s="16">
        <v>9470</v>
      </c>
      <c r="G12" s="3">
        <f t="shared" si="3"/>
        <v>0.27636887302915497</v>
      </c>
      <c r="H12" s="7">
        <v>-3.8050000000000002</v>
      </c>
      <c r="I12" s="3">
        <f t="shared" si="4"/>
        <v>0</v>
      </c>
      <c r="J12" s="16">
        <v>9510</v>
      </c>
      <c r="K12" s="3">
        <f t="shared" si="5"/>
        <v>0.1453212864092929</v>
      </c>
      <c r="L12" s="7">
        <v>-3.8570000000000002</v>
      </c>
      <c r="M12" s="3">
        <f t="shared" si="6"/>
        <v>-1.1125000000000052E-2</v>
      </c>
      <c r="N12" s="16">
        <v>9425</v>
      </c>
      <c r="O12" s="3">
        <f t="shared" si="7"/>
        <v>0.1359937102908913</v>
      </c>
      <c r="P12" s="23">
        <f t="shared" si="0"/>
        <v>-2.9166666666666785E-3</v>
      </c>
      <c r="Q12" s="8">
        <f t="shared" si="1"/>
        <v>5.8845961817462515E-3</v>
      </c>
      <c r="R12" s="8"/>
      <c r="S12" s="23">
        <f t="shared" si="8"/>
        <v>0.18589462324311304</v>
      </c>
      <c r="T12" s="9">
        <f t="shared" si="9"/>
        <v>6.4088185727799979E-2</v>
      </c>
    </row>
    <row r="13" spans="1:20" x14ac:dyDescent="0.35">
      <c r="A13" s="52"/>
      <c r="B13" s="1">
        <f t="shared" si="10"/>
        <v>365</v>
      </c>
      <c r="C13" s="4">
        <v>44952</v>
      </c>
      <c r="D13" s="7">
        <v>-4.3689999999999998</v>
      </c>
      <c r="E13" s="3">
        <f t="shared" si="2"/>
        <v>7.6249999999999929E-3</v>
      </c>
      <c r="F13" s="16">
        <v>9490</v>
      </c>
      <c r="G13" s="3">
        <f t="shared" si="3"/>
        <v>0.48814578722773816</v>
      </c>
      <c r="H13" s="7">
        <v>-3.7559999999999998</v>
      </c>
      <c r="I13" s="3">
        <f t="shared" si="4"/>
        <v>1.2250000000000094E-2</v>
      </c>
      <c r="J13" s="16">
        <v>9530</v>
      </c>
      <c r="K13" s="3">
        <f t="shared" si="5"/>
        <v>0.35593184642277192</v>
      </c>
      <c r="L13" s="7">
        <v>-3.8330000000000002</v>
      </c>
      <c r="M13" s="3">
        <f t="shared" si="6"/>
        <v>-5.1250000000000462E-3</v>
      </c>
      <c r="N13" s="16">
        <v>9460</v>
      </c>
      <c r="O13" s="3">
        <f t="shared" si="7"/>
        <v>0.50785151186756838</v>
      </c>
      <c r="P13" s="23">
        <f t="shared" si="0"/>
        <v>4.9166666666666803E-3</v>
      </c>
      <c r="Q13" s="8">
        <f t="shared" si="1"/>
        <v>7.3472878594002047E-3</v>
      </c>
      <c r="R13" s="8"/>
      <c r="S13" s="23">
        <f t="shared" si="8"/>
        <v>0.45064304850602616</v>
      </c>
      <c r="T13" s="9">
        <f t="shared" si="9"/>
        <v>6.7452391832741335E-2</v>
      </c>
    </row>
    <row r="14" spans="1:20" x14ac:dyDescent="0.35">
      <c r="A14" s="52"/>
      <c r="B14" s="1">
        <f t="shared" si="10"/>
        <v>456</v>
      </c>
      <c r="C14" s="4">
        <v>45043</v>
      </c>
      <c r="D14" s="7">
        <v>-4.3860000000000001</v>
      </c>
      <c r="E14" s="3">
        <f t="shared" si="2"/>
        <v>3.3749999999999059E-3</v>
      </c>
      <c r="F14" s="16">
        <v>9480</v>
      </c>
      <c r="G14" s="3">
        <f t="shared" si="3"/>
        <v>0.38225733012844659</v>
      </c>
      <c r="H14" s="7">
        <v>-3.7919999999999998</v>
      </c>
      <c r="I14" s="3">
        <f t="shared" si="4"/>
        <v>3.2500000000000862E-3</v>
      </c>
      <c r="J14" s="16">
        <v>9535</v>
      </c>
      <c r="K14" s="3">
        <f t="shared" si="5"/>
        <v>0.4085844864261417</v>
      </c>
      <c r="L14" s="7">
        <v>-3.8439999999999999</v>
      </c>
      <c r="M14" s="3">
        <f t="shared" si="6"/>
        <v>-7.8749999999999654E-3</v>
      </c>
      <c r="N14" s="16">
        <v>9450</v>
      </c>
      <c r="O14" s="3">
        <f t="shared" si="7"/>
        <v>0.40160642570280347</v>
      </c>
      <c r="P14" s="23">
        <f t="shared" ref="P14" si="11">IF(ISBLANK(D14),NA(),AVERAGE(E14,I14,M14))</f>
        <v>-4.166666666666578E-4</v>
      </c>
      <c r="Q14" s="8">
        <f t="shared" ref="Q14" si="12">IF(ISBLANK(D14),NA(),_xlfn.STDEV.P(E14,I14,M14))</f>
        <v>5.2740849653965588E-3</v>
      </c>
      <c r="R14" s="8"/>
      <c r="S14" s="23">
        <f t="shared" si="8"/>
        <v>0.39748274741913053</v>
      </c>
      <c r="T14" s="9">
        <f t="shared" si="9"/>
        <v>1.1136526436947422E-2</v>
      </c>
    </row>
    <row r="15" spans="1:20" x14ac:dyDescent="0.35">
      <c r="A15" s="52"/>
      <c r="B15" s="1">
        <f t="shared" si="10"/>
        <v>554</v>
      </c>
      <c r="C15" s="4">
        <v>45141</v>
      </c>
      <c r="D15" s="7">
        <v>-4.3879999999999999</v>
      </c>
      <c r="E15" s="3">
        <f t="shared" si="2"/>
        <v>2.8749999999999609E-3</v>
      </c>
      <c r="F15" s="16">
        <v>9500</v>
      </c>
      <c r="G15" s="3">
        <f t="shared" si="3"/>
        <v>0.59403424432702978</v>
      </c>
      <c r="H15" s="7">
        <v>-3.7890000000000001</v>
      </c>
      <c r="I15" s="3">
        <f t="shared" si="4"/>
        <v>4.0000000000000036E-3</v>
      </c>
      <c r="J15" s="16">
        <v>9545</v>
      </c>
      <c r="K15" s="3">
        <f t="shared" si="5"/>
        <v>0.5138897664328812</v>
      </c>
      <c r="L15" s="7">
        <v>-3.843</v>
      </c>
      <c r="M15" s="3">
        <f t="shared" si="6"/>
        <v>-7.6249999999999929E-3</v>
      </c>
      <c r="N15" s="16">
        <v>9460</v>
      </c>
      <c r="O15" s="3">
        <f t="shared" si="7"/>
        <v>0.50785151186756838</v>
      </c>
      <c r="P15" s="23">
        <f t="shared" ref="P15:P17" si="13">IF(ISBLANK(D15),NA(),AVERAGE(E15,I15,M15))</f>
        <v>-2.5000000000000949E-4</v>
      </c>
      <c r="Q15" s="8">
        <f t="shared" ref="Q15:Q17" si="14">IF(ISBLANK(D15),NA(),_xlfn.STDEV.P(E15,I15,M15))</f>
        <v>5.2350978978429712E-3</v>
      </c>
      <c r="R15" s="8"/>
      <c r="S15" s="23">
        <f t="shared" ref="S15:S17" si="15">AVERAGE(G15,K15,O15)</f>
        <v>0.53859184087582646</v>
      </c>
      <c r="T15" s="9">
        <f t="shared" ref="T15:T17" si="16">_xlfn.STDEV.P(G15,K15,O15)</f>
        <v>3.9281125279904953E-2</v>
      </c>
    </row>
    <row r="16" spans="1:20" x14ac:dyDescent="0.35">
      <c r="A16" s="52"/>
      <c r="B16" s="1">
        <f>IF(ISBLANK(C16),NA(),C16-C$7+1)</f>
        <v>722</v>
      </c>
      <c r="C16" s="4">
        <v>45309</v>
      </c>
      <c r="D16" s="7">
        <v>-4.3730000000000002</v>
      </c>
      <c r="E16" s="3">
        <f t="shared" si="2"/>
        <v>6.624999999999881E-3</v>
      </c>
      <c r="F16" s="16">
        <v>9500</v>
      </c>
      <c r="G16" s="3">
        <f t="shared" si="3"/>
        <v>0.59403424432702978</v>
      </c>
      <c r="H16" s="7">
        <v>-3.782</v>
      </c>
      <c r="I16" s="3">
        <f t="shared" si="4"/>
        <v>5.7500000000000329E-3</v>
      </c>
      <c r="J16" s="16">
        <v>9550</v>
      </c>
      <c r="K16" s="3">
        <f t="shared" si="5"/>
        <v>0.56654240643625098</v>
      </c>
      <c r="L16" s="7">
        <v>-3.839</v>
      </c>
      <c r="M16" s="3">
        <f t="shared" si="6"/>
        <v>-6.624999999999992E-3</v>
      </c>
      <c r="N16" s="16">
        <v>9460</v>
      </c>
      <c r="O16" s="3">
        <f t="shared" si="7"/>
        <v>0.50785151186756838</v>
      </c>
      <c r="P16" s="23">
        <f t="shared" si="13"/>
        <v>1.9166666666666405E-3</v>
      </c>
      <c r="Q16" s="8">
        <f t="shared" si="14"/>
        <v>6.0504246866553554E-3</v>
      </c>
      <c r="R16" s="8"/>
      <c r="S16" s="23">
        <f t="shared" si="15"/>
        <v>0.55614272087694971</v>
      </c>
      <c r="T16" s="9">
        <f t="shared" si="16"/>
        <v>3.5944224740969907E-2</v>
      </c>
    </row>
    <row r="17" spans="1:22" x14ac:dyDescent="0.35">
      <c r="A17" s="52"/>
      <c r="B17" s="1" t="e">
        <f t="shared" si="10"/>
        <v>#N/A</v>
      </c>
      <c r="C17" s="4"/>
      <c r="D17" s="7"/>
      <c r="E17" s="3" t="e">
        <f t="shared" si="2"/>
        <v>#N/A</v>
      </c>
      <c r="F17" s="16"/>
      <c r="G17" s="3" t="e">
        <f t="shared" si="3"/>
        <v>#N/A</v>
      </c>
      <c r="H17" s="7"/>
      <c r="I17" s="3" t="e">
        <f t="shared" si="4"/>
        <v>#N/A</v>
      </c>
      <c r="J17" s="16"/>
      <c r="K17" s="3" t="e">
        <f t="shared" si="5"/>
        <v>#N/A</v>
      </c>
      <c r="L17" s="7"/>
      <c r="M17" s="3">
        <f t="shared" si="6"/>
        <v>0.953125</v>
      </c>
      <c r="N17" s="16"/>
      <c r="O17" s="3" t="e">
        <f t="shared" si="7"/>
        <v>#N/A</v>
      </c>
      <c r="P17" s="23" t="e">
        <f t="shared" si="13"/>
        <v>#N/A</v>
      </c>
      <c r="Q17" s="8" t="e">
        <f t="shared" si="14"/>
        <v>#N/A</v>
      </c>
      <c r="R17" s="8"/>
      <c r="S17" s="23" t="e">
        <f t="shared" si="15"/>
        <v>#N/A</v>
      </c>
      <c r="T17" s="9" t="e">
        <f t="shared" si="16"/>
        <v>#N/A</v>
      </c>
    </row>
    <row r="19" spans="1:22" x14ac:dyDescent="0.35">
      <c r="B19" s="21"/>
      <c r="S19"/>
      <c r="T19"/>
      <c r="U19"/>
    </row>
    <row r="20" spans="1:22" x14ac:dyDescent="0.35">
      <c r="S20"/>
      <c r="T20"/>
      <c r="U20"/>
    </row>
    <row r="21" spans="1:22" x14ac:dyDescent="0.35">
      <c r="C21" s="21"/>
    </row>
    <row r="22" spans="1:22" x14ac:dyDescent="0.35">
      <c r="C22" s="40" t="s">
        <v>10</v>
      </c>
      <c r="D22" s="13" t="s">
        <v>9</v>
      </c>
      <c r="E22" s="13" t="s">
        <v>11</v>
      </c>
      <c r="F22" s="48" t="s">
        <v>14</v>
      </c>
      <c r="G22" s="50"/>
      <c r="H22" s="48" t="s">
        <v>55</v>
      </c>
      <c r="I22" s="49"/>
      <c r="J22" s="40" t="s">
        <v>63</v>
      </c>
      <c r="K22" s="40"/>
      <c r="L22" s="40"/>
      <c r="M22" s="40"/>
      <c r="N22" s="40"/>
      <c r="O22" s="40"/>
      <c r="P22" s="40"/>
      <c r="Q22" s="40"/>
      <c r="R22" s="40"/>
      <c r="S22" s="40"/>
      <c r="T22" s="40"/>
      <c r="U22"/>
      <c r="V22"/>
    </row>
    <row r="23" spans="1:22" ht="16.5" x14ac:dyDescent="0.35">
      <c r="C23" s="40"/>
      <c r="D23" s="13"/>
      <c r="E23" s="13"/>
      <c r="F23" s="14" t="s">
        <v>12</v>
      </c>
      <c r="G23" s="14" t="s">
        <v>13</v>
      </c>
      <c r="H23" s="14" t="s">
        <v>52</v>
      </c>
      <c r="I23" s="14" t="s">
        <v>54</v>
      </c>
      <c r="J23" s="14" t="s">
        <v>65</v>
      </c>
      <c r="K23" s="14" t="s">
        <v>67</v>
      </c>
      <c r="L23" s="14" t="s">
        <v>69</v>
      </c>
      <c r="M23" s="14" t="s">
        <v>71</v>
      </c>
      <c r="N23" s="14" t="s">
        <v>73</v>
      </c>
      <c r="O23" s="14" t="s">
        <v>89</v>
      </c>
      <c r="P23" s="14" t="s">
        <v>90</v>
      </c>
      <c r="Q23" s="14" t="s">
        <v>92</v>
      </c>
      <c r="R23" s="14" t="s">
        <v>75</v>
      </c>
      <c r="S23" s="14" t="s">
        <v>77</v>
      </c>
      <c r="T23" s="14" t="s">
        <v>79</v>
      </c>
      <c r="U23"/>
      <c r="V23"/>
    </row>
    <row r="24" spans="1:22" x14ac:dyDescent="0.35">
      <c r="B24" s="1">
        <f>IF(ISBLANK(D24),NA(),C24-$C$24)</f>
        <v>0</v>
      </c>
      <c r="C24" s="4">
        <f>C7-1</f>
        <v>44587</v>
      </c>
      <c r="D24" s="16">
        <v>26</v>
      </c>
      <c r="E24" s="16">
        <f>D24/0.0129</f>
        <v>2015.5038759689921</v>
      </c>
      <c r="F24" s="1">
        <v>0</v>
      </c>
      <c r="G24" s="1">
        <v>0</v>
      </c>
      <c r="H24" s="16">
        <f>IF(ISBLANK(F24),NA(),F24*62/(23*2)*$E24/1000)</f>
        <v>0</v>
      </c>
      <c r="I24" s="16">
        <f t="shared" ref="I24:I33" si="17">IF(ISBLANK(G24),NA(),G24*62/(23*2)*$E24/1000)</f>
        <v>0</v>
      </c>
      <c r="J24" s="16">
        <f>100*((H24/1000)/INDEX(Alkalis!$K$3:$K$12,MATCH($B$1,Alkalis!$A$3:$A$12,0)))</f>
        <v>0</v>
      </c>
      <c r="K24" s="16">
        <f>100*((I24/1000)/INDEX(Alkalis!$K$3:$K$12,MATCH($B$1,Alkalis!$A$3:$A$12,0)))</f>
        <v>0</v>
      </c>
      <c r="L24" s="7">
        <f>100*(H24/1000)/(3*440*0.1*0.1*0.4*1000)</f>
        <v>0</v>
      </c>
      <c r="M24" s="7">
        <f>100*(I24/1000)/(3*440*0.1*0.1*0.4*1000)</f>
        <v>0</v>
      </c>
      <c r="N24" s="23">
        <f t="shared" ref="N24:N30" si="18">L24+0.658*M24</f>
        <v>0</v>
      </c>
      <c r="O24" s="9">
        <f>100*L24/INDEX(Alkalis!G$3:G$12,MATCH($B$1,Alkalis!$A$3:$A$12,0))</f>
        <v>0</v>
      </c>
      <c r="P24" s="9">
        <f>100*M24/INDEX(Alkalis!H$3:H$12,MATCH($B$1,Alkalis!$A$3:$A$12,0))</f>
        <v>0</v>
      </c>
      <c r="Q24" s="23">
        <f>100*N24/INDEX(Alkalis!I$3:I$12,MATCH($B$1,Alkalis!$A$3:$A$12,0))</f>
        <v>0</v>
      </c>
      <c r="R24" s="9">
        <f t="shared" ref="R24:R30" si="19">440*L24/100</f>
        <v>0</v>
      </c>
      <c r="S24" s="9">
        <f t="shared" ref="S24:S30" si="20">440*M24/100</f>
        <v>0</v>
      </c>
      <c r="T24" s="23">
        <f t="shared" ref="T24:T30" si="21">440*N24/100</f>
        <v>0</v>
      </c>
      <c r="U24"/>
      <c r="V24"/>
    </row>
    <row r="25" spans="1:22" x14ac:dyDescent="0.35">
      <c r="B25" s="1">
        <f t="shared" ref="B25:B33" si="22">IF(ISBLANK(D25),NA(),C25-$C$24)</f>
        <v>28</v>
      </c>
      <c r="C25" s="4">
        <f t="shared" ref="C25:C33" si="23">C9</f>
        <v>44615</v>
      </c>
      <c r="D25" s="16">
        <v>26.7</v>
      </c>
      <c r="E25" s="16">
        <f>D25/0.0129</f>
        <v>2069.7674418604652</v>
      </c>
      <c r="F25" s="1">
        <v>5.6026378122964102</v>
      </c>
      <c r="G25" s="1">
        <v>12.938244839030709</v>
      </c>
      <c r="H25" s="16">
        <f t="shared" ref="H25:H33" si="24">IF(ISBLANK(F25),NA(),F25*62/(23*2)*$E25/1000)</f>
        <v>15.629603361097873</v>
      </c>
      <c r="I25" s="16">
        <f t="shared" si="17"/>
        <v>36.093647634869299</v>
      </c>
      <c r="J25" s="16">
        <f>100*((H25/1000)/INDEX(Alkalis!$K$3:$K$12,MATCH($B$1,Alkalis!$A$3:$A$12,0)))</f>
        <v>4.4614199724537777E-2</v>
      </c>
      <c r="K25" s="16">
        <f>100*((I25/1000)/INDEX(Alkalis!$K$3:$K$12,MATCH($B$1,Alkalis!$A$3:$A$12,0)))</f>
        <v>0.10302815542825379</v>
      </c>
      <c r="L25" s="7">
        <f t="shared" ref="L25:L33" si="25">100*(H25/1000)/(3*440*0.1*0.1*0.4*1000)</f>
        <v>2.9601521517230814E-4</v>
      </c>
      <c r="M25" s="7">
        <f t="shared" ref="M25:M33" si="26">100*(I25/1000)/(3*440*0.1*0.1*0.4*1000)</f>
        <v>6.8359181126646394E-4</v>
      </c>
      <c r="N25" s="23">
        <f t="shared" si="18"/>
        <v>7.4581862698564145E-4</v>
      </c>
      <c r="O25" s="9">
        <f>100*L25/INDEX(Alkalis!G$3:G$12,MATCH($B$1,Alkalis!$A$3:$A$12,0))</f>
        <v>4.4614199724537777E-2</v>
      </c>
      <c r="P25" s="9">
        <f>100*M25/INDEX(Alkalis!H$3:H$12,MATCH($B$1,Alkalis!$A$3:$A$12,0))</f>
        <v>3.9051231720449241E-2</v>
      </c>
      <c r="Q25" s="23">
        <f>100*N25/INDEX(Alkalis!I$3:I$12,MATCH($B$1,Alkalis!$A$3:$A$12,0))</f>
        <v>4.1084488100264001E-2</v>
      </c>
      <c r="R25" s="9">
        <f t="shared" si="19"/>
        <v>1.302466946758156E-3</v>
      </c>
      <c r="S25" s="9">
        <f t="shared" si="20"/>
        <v>3.0078039695724413E-3</v>
      </c>
      <c r="T25" s="23">
        <f t="shared" si="21"/>
        <v>3.2816019587368224E-3</v>
      </c>
      <c r="U25"/>
      <c r="V25"/>
    </row>
    <row r="26" spans="1:22" x14ac:dyDescent="0.35">
      <c r="B26" s="1">
        <f t="shared" si="22"/>
        <v>56</v>
      </c>
      <c r="C26" s="4">
        <f t="shared" si="23"/>
        <v>44643</v>
      </c>
      <c r="D26" s="16">
        <v>25.5</v>
      </c>
      <c r="E26" s="16">
        <f t="shared" ref="E26:E33" si="27">D26/0.0129</f>
        <v>1976.7441860465117</v>
      </c>
      <c r="F26" s="1">
        <v>7.656420342801197</v>
      </c>
      <c r="G26" s="1">
        <v>17.372690246375285</v>
      </c>
      <c r="H26" s="16">
        <f t="shared" si="24"/>
        <v>20.39905723284242</v>
      </c>
      <c r="I26" s="16">
        <f t="shared" si="17"/>
        <v>46.286186854599464</v>
      </c>
      <c r="J26" s="16">
        <f>100*((H26/1000)/INDEX(Alkalis!$K$3:$K$12,MATCH($B$1,Alkalis!$A$3:$A$12,0)))</f>
        <v>5.8228452287120681E-2</v>
      </c>
      <c r="K26" s="16">
        <f>100*((I26/1000)/INDEX(Alkalis!$K$3:$K$12,MATCH($B$1,Alkalis!$A$3:$A$12,0)))</f>
        <v>0.13212243056392708</v>
      </c>
      <c r="L26" s="7">
        <f t="shared" si="25"/>
        <v>3.8634578092504573E-4</v>
      </c>
      <c r="M26" s="7">
        <f t="shared" si="26"/>
        <v>8.7663232679165625E-4</v>
      </c>
      <c r="N26" s="23">
        <f t="shared" si="18"/>
        <v>9.6316985195395556E-4</v>
      </c>
      <c r="O26" s="9">
        <f>100*L26/INDEX(Alkalis!G$3:G$12,MATCH($B$1,Alkalis!$A$3:$A$12,0))</f>
        <v>5.8228452287120688E-2</v>
      </c>
      <c r="P26" s="9">
        <f>100*M26/INDEX(Alkalis!H$3:H$12,MATCH($B$1,Alkalis!$A$3:$A$12,0))</f>
        <v>5.0078967540226005E-2</v>
      </c>
      <c r="Q26" s="23">
        <f>100*N26/INDEX(Alkalis!I$3:I$12,MATCH($B$1,Alkalis!$A$3:$A$12,0))</f>
        <v>5.3057591871994311E-2</v>
      </c>
      <c r="R26" s="9">
        <f t="shared" si="19"/>
        <v>1.6999214360702011E-3</v>
      </c>
      <c r="S26" s="9">
        <f t="shared" si="20"/>
        <v>3.8571822378832875E-3</v>
      </c>
      <c r="T26" s="23">
        <f t="shared" si="21"/>
        <v>4.2379473485974041E-3</v>
      </c>
      <c r="U26"/>
      <c r="V26"/>
    </row>
    <row r="27" spans="1:22" x14ac:dyDescent="0.35">
      <c r="B27" s="1">
        <f t="shared" si="22"/>
        <v>83</v>
      </c>
      <c r="C27" s="4">
        <f t="shared" si="23"/>
        <v>44670</v>
      </c>
      <c r="D27" s="16">
        <v>23.7</v>
      </c>
      <c r="E27" s="16">
        <f t="shared" si="27"/>
        <v>1837.2093023255813</v>
      </c>
      <c r="F27" s="1">
        <v>11.04117221424683</v>
      </c>
      <c r="G27" s="1">
        <v>24.544342485223819</v>
      </c>
      <c r="H27" s="16">
        <f t="shared" si="24"/>
        <v>27.340577100799276</v>
      </c>
      <c r="I27" s="16">
        <f t="shared" si="17"/>
        <v>60.777648884037539</v>
      </c>
      <c r="J27" s="16">
        <f>100*((H27/1000)/INDEX(Alkalis!$K$3:$K$12,MATCH($B$1,Alkalis!$A$3:$A$12,0)))</f>
        <v>7.8042797323648883E-2</v>
      </c>
      <c r="K27" s="16">
        <f>100*((I27/1000)/INDEX(Alkalis!$K$3:$K$12,MATCH($B$1,Alkalis!$A$3:$A$12,0)))</f>
        <v>0.1734878424905732</v>
      </c>
      <c r="L27" s="7">
        <f t="shared" si="25"/>
        <v>5.1781396024241043E-4</v>
      </c>
      <c r="M27" s="7">
        <f t="shared" si="26"/>
        <v>1.1510918349249533E-3</v>
      </c>
      <c r="N27" s="23">
        <f t="shared" si="18"/>
        <v>1.2752323876230299E-3</v>
      </c>
      <c r="O27" s="9">
        <f>100*L27/INDEX(Alkalis!G$3:G$12,MATCH($B$1,Alkalis!$A$3:$A$12,0))</f>
        <v>7.8042797323648896E-2</v>
      </c>
      <c r="P27" s="9">
        <f>100*M27/INDEX(Alkalis!H$3:H$12,MATCH($B$1,Alkalis!$A$3:$A$12,0))</f>
        <v>6.5757888313336371E-2</v>
      </c>
      <c r="Q27" s="23">
        <f>100*N27/INDEX(Alkalis!I$3:I$12,MATCH($B$1,Alkalis!$A$3:$A$12,0))</f>
        <v>7.0248003949864177E-2</v>
      </c>
      <c r="R27" s="9">
        <f t="shared" si="19"/>
        <v>2.2783814250666059E-3</v>
      </c>
      <c r="S27" s="9">
        <f t="shared" si="20"/>
        <v>5.0648040736697942E-3</v>
      </c>
      <c r="T27" s="23">
        <f t="shared" si="21"/>
        <v>5.6110225055413313E-3</v>
      </c>
      <c r="U27"/>
      <c r="V27"/>
    </row>
    <row r="28" spans="1:22" x14ac:dyDescent="0.35">
      <c r="B28" s="1">
        <f t="shared" si="22"/>
        <v>191</v>
      </c>
      <c r="C28" s="4">
        <f t="shared" si="23"/>
        <v>44778</v>
      </c>
      <c r="D28" s="16">
        <v>24.2</v>
      </c>
      <c r="E28" s="16">
        <f t="shared" si="27"/>
        <v>1875.968992248062</v>
      </c>
      <c r="F28" s="1">
        <v>19.714068112010011</v>
      </c>
      <c r="G28" s="1">
        <v>39.618406659799</v>
      </c>
      <c r="H28" s="16">
        <f t="shared" si="24"/>
        <v>49.846625876743886</v>
      </c>
      <c r="I28" s="16">
        <f t="shared" si="17"/>
        <v>100.17434673468559</v>
      </c>
      <c r="J28" s="16">
        <f>100*((H28/1000)/INDEX(Alkalis!$K$3:$K$12,MATCH($B$1,Alkalis!$A$3:$A$12,0)))</f>
        <v>0.1422855891528621</v>
      </c>
      <c r="K28" s="16">
        <f>100*((I28/1000)/INDEX(Alkalis!$K$3:$K$12,MATCH($B$1,Alkalis!$A$3:$A$12,0)))</f>
        <v>0.28594444844455924</v>
      </c>
      <c r="L28" s="7">
        <f t="shared" si="25"/>
        <v>9.440648840292401E-4</v>
      </c>
      <c r="M28" s="7">
        <f t="shared" si="26"/>
        <v>1.897241415429651E-3</v>
      </c>
      <c r="N28" s="23">
        <f t="shared" si="18"/>
        <v>2.1924497353819506E-3</v>
      </c>
      <c r="O28" s="9">
        <f>100*L28/INDEX(Alkalis!G$3:G$12,MATCH($B$1,Alkalis!$A$3:$A$12,0))</f>
        <v>0.1422855891528621</v>
      </c>
      <c r="P28" s="9">
        <f>100*M28/INDEX(Alkalis!H$3:H$12,MATCH($B$1,Alkalis!$A$3:$A$12,0))</f>
        <v>0.10838282864493864</v>
      </c>
      <c r="Q28" s="23">
        <f>100*N28/INDEX(Alkalis!I$3:I$12,MATCH($B$1,Alkalis!$A$3:$A$12,0))</f>
        <v>0.12077423626141325</v>
      </c>
      <c r="R28" s="9">
        <f t="shared" si="19"/>
        <v>4.1538854897286565E-3</v>
      </c>
      <c r="S28" s="9">
        <f t="shared" si="20"/>
        <v>8.3478622278904645E-3</v>
      </c>
      <c r="T28" s="23">
        <f t="shared" si="21"/>
        <v>9.646778835680582E-3</v>
      </c>
      <c r="U28"/>
      <c r="V28"/>
    </row>
    <row r="29" spans="1:22" x14ac:dyDescent="0.35">
      <c r="B29" s="1">
        <f t="shared" si="22"/>
        <v>365</v>
      </c>
      <c r="C29" s="4">
        <f t="shared" si="23"/>
        <v>44952</v>
      </c>
      <c r="D29" s="16">
        <v>20.3</v>
      </c>
      <c r="E29" s="16">
        <f t="shared" si="27"/>
        <v>1573.6434108527133</v>
      </c>
      <c r="F29" s="1">
        <v>168.55721238030586</v>
      </c>
      <c r="G29" s="1">
        <v>290.5179287913254</v>
      </c>
      <c r="H29" s="16">
        <f t="shared" si="24"/>
        <v>357.50944978404607</v>
      </c>
      <c r="I29" s="16">
        <f t="shared" si="17"/>
        <v>616.18784155167214</v>
      </c>
      <c r="J29" s="16">
        <f>100*((H29/1000)/INDEX(Alkalis!$K$3:$K$12,MATCH($B$1,Alkalis!$A$3:$A$12,0)))</f>
        <v>1.0204992172593856</v>
      </c>
      <c r="K29" s="16">
        <f>100*((I29/1000)/INDEX(Alkalis!$K$3:$K$12,MATCH($B$1,Alkalis!$A$3:$A$12,0)))</f>
        <v>1.7588883604840948</v>
      </c>
      <c r="L29" s="7">
        <f t="shared" si="25"/>
        <v>6.7710123065160234E-3</v>
      </c>
      <c r="M29" s="7">
        <f t="shared" si="26"/>
        <v>1.1670224271811972E-2</v>
      </c>
      <c r="N29" s="23">
        <f t="shared" si="18"/>
        <v>1.4450019877368301E-2</v>
      </c>
      <c r="O29" s="9">
        <f>100*L29/INDEX(Alkalis!G$3:G$12,MATCH($B$1,Alkalis!$A$3:$A$12,0))</f>
        <v>1.0204992172593856</v>
      </c>
      <c r="P29" s="9">
        <f>100*M29/INDEX(Alkalis!H$3:H$12,MATCH($B$1,Alkalis!$A$3:$A$12,0))</f>
        <v>0.66667947853824472</v>
      </c>
      <c r="Q29" s="23">
        <f>100*N29/INDEX(Alkalis!I$3:I$12,MATCH($B$1,Alkalis!$A$3:$A$12,0))</f>
        <v>0.79600005714491984</v>
      </c>
      <c r="R29" s="9">
        <f t="shared" si="19"/>
        <v>2.9792454148670502E-2</v>
      </c>
      <c r="S29" s="9">
        <f t="shared" si="20"/>
        <v>5.1348986795972683E-2</v>
      </c>
      <c r="T29" s="23">
        <f t="shared" si="21"/>
        <v>6.3580087460420515E-2</v>
      </c>
      <c r="U29"/>
      <c r="V29"/>
    </row>
    <row r="30" spans="1:22" x14ac:dyDescent="0.35">
      <c r="B30" s="1">
        <f t="shared" si="22"/>
        <v>456</v>
      </c>
      <c r="C30" s="4">
        <f t="shared" si="23"/>
        <v>45043</v>
      </c>
      <c r="D30" s="16">
        <v>21.4</v>
      </c>
      <c r="E30" s="16">
        <f t="shared" si="27"/>
        <v>1658.9147286821703</v>
      </c>
      <c r="F30" s="1">
        <f>10*15.7336261223561</f>
        <v>157.336261223561</v>
      </c>
      <c r="G30" s="1">
        <f>10*27.7044634457457</f>
        <v>277.04463445745699</v>
      </c>
      <c r="H30" s="16">
        <f t="shared" si="24"/>
        <v>351.7926380037423</v>
      </c>
      <c r="I30" s="16">
        <f t="shared" si="17"/>
        <v>619.45200707474532</v>
      </c>
      <c r="J30" s="16">
        <f>100*((H30/1000)/INDEX(Alkalis!$K$3:$K$12,MATCH($B$1,Alkalis!$A$3:$A$12,0)))</f>
        <v>1.0041807620394094</v>
      </c>
      <c r="K30" s="16">
        <f>100*((I30/1000)/INDEX(Alkalis!$K$3:$K$12,MATCH($B$1,Alkalis!$A$3:$A$12,0)))</f>
        <v>1.7682058159060801</v>
      </c>
      <c r="L30" s="7">
        <f t="shared" si="25"/>
        <v>6.6627393561314819E-3</v>
      </c>
      <c r="M30" s="7">
        <f t="shared" si="26"/>
        <v>1.1732045588536841E-2</v>
      </c>
      <c r="N30" s="23">
        <f t="shared" si="18"/>
        <v>1.4382425353388724E-2</v>
      </c>
      <c r="O30" s="9">
        <f>100*L30/INDEX(Alkalis!G$3:G$12,MATCH($B$1,Alkalis!$A$3:$A$12,0))</f>
        <v>1.0041807620394094</v>
      </c>
      <c r="P30" s="9">
        <f>100*M30/INDEX(Alkalis!H$3:H$12,MATCH($B$1,Alkalis!$A$3:$A$12,0))</f>
        <v>0.67021111616891416</v>
      </c>
      <c r="Q30" s="23">
        <f>100*N30/INDEX(Alkalis!I$3:I$12,MATCH($B$1,Alkalis!$A$3:$A$12,0))</f>
        <v>0.79227651590365844</v>
      </c>
      <c r="R30" s="9">
        <f t="shared" si="19"/>
        <v>2.9316053166978523E-2</v>
      </c>
      <c r="S30" s="9">
        <f t="shared" si="20"/>
        <v>5.1621000589562101E-2</v>
      </c>
      <c r="T30" s="23">
        <f t="shared" si="21"/>
        <v>6.328267155491038E-2</v>
      </c>
      <c r="U30"/>
      <c r="V30"/>
    </row>
    <row r="31" spans="1:22" x14ac:dyDescent="0.35">
      <c r="B31" s="1">
        <f t="shared" si="22"/>
        <v>554</v>
      </c>
      <c r="C31" s="4">
        <f t="shared" si="23"/>
        <v>45141</v>
      </c>
      <c r="D31" s="16">
        <v>18.899999999999999</v>
      </c>
      <c r="E31" s="16">
        <f t="shared" si="27"/>
        <v>1465.1162790697674</v>
      </c>
      <c r="F31" s="1">
        <f>10*24.176420659397</f>
        <v>241.76420659396999</v>
      </c>
      <c r="G31" s="1">
        <f>10*40.5077472615409</f>
        <v>405.07747261540896</v>
      </c>
      <c r="H31" s="16">
        <f t="shared" si="24"/>
        <v>477.41708339537246</v>
      </c>
      <c r="I31" s="16">
        <f t="shared" si="17"/>
        <v>799.91537312223829</v>
      </c>
      <c r="J31" s="16">
        <f>100*((H31/1000)/INDEX(Alkalis!$K$3:$K$12,MATCH($B$1,Alkalis!$A$3:$A$12,0)))</f>
        <v>1.3627716979384243</v>
      </c>
      <c r="K31" s="16">
        <f>100*((I31/1000)/INDEX(Alkalis!$K$3:$K$12,MATCH($B$1,Alkalis!$A$3:$A$12,0)))</f>
        <v>2.2833326857180642</v>
      </c>
      <c r="L31" s="7">
        <f t="shared" si="25"/>
        <v>9.0419902158214473E-3</v>
      </c>
      <c r="M31" s="7">
        <f t="shared" si="26"/>
        <v>1.5149912369739359E-2</v>
      </c>
      <c r="N31" s="23">
        <f t="shared" ref="N31:N33" si="28">L31+0.658*M31</f>
        <v>1.9010632555109944E-2</v>
      </c>
      <c r="O31" s="9">
        <f>100*L31/INDEX(Alkalis!G$3:G$12,MATCH($B$1,Alkalis!$A$3:$A$12,0))</f>
        <v>1.3627716979384246</v>
      </c>
      <c r="P31" s="9">
        <f>100*M31/INDEX(Alkalis!H$3:H$12,MATCH($B$1,Alkalis!$A$3:$A$12,0))</f>
        <v>0.86546200341270252</v>
      </c>
      <c r="Q31" s="23">
        <f>100*N31/INDEX(Alkalis!I$3:I$12,MATCH($B$1,Alkalis!$A$3:$A$12,0))</f>
        <v>1.0472279435358518</v>
      </c>
      <c r="R31" s="9">
        <f t="shared" ref="R31:R33" si="29">440*L31/100</f>
        <v>3.9784756949614371E-2</v>
      </c>
      <c r="S31" s="9">
        <f t="shared" ref="S31:S33" si="30">440*M31/100</f>
        <v>6.6659614426853184E-2</v>
      </c>
      <c r="T31" s="23">
        <f t="shared" ref="T31:T33" si="31">440*N31/100</f>
        <v>8.3646783242483758E-2</v>
      </c>
      <c r="U31"/>
      <c r="V31"/>
    </row>
    <row r="32" spans="1:22" x14ac:dyDescent="0.35">
      <c r="B32" s="1">
        <f t="shared" si="22"/>
        <v>722</v>
      </c>
      <c r="C32" s="4">
        <f t="shared" si="23"/>
        <v>45309</v>
      </c>
      <c r="D32" s="16">
        <v>26.8</v>
      </c>
      <c r="E32" s="16">
        <f t="shared" si="27"/>
        <v>2077.5193798449613</v>
      </c>
      <c r="F32" s="1">
        <f>50*5.84849985229234</f>
        <v>292.424992614617</v>
      </c>
      <c r="G32" s="1">
        <f>50*8.7762911658796</f>
        <v>438.81455829398004</v>
      </c>
      <c r="H32" s="16">
        <f t="shared" si="24"/>
        <v>818.82940298019491</v>
      </c>
      <c r="I32" s="16">
        <f t="shared" si="17"/>
        <v>1228.7399225838851</v>
      </c>
      <c r="J32" s="16">
        <f>100*((H32/1000)/INDEX(Alkalis!$K$3:$K$12,MATCH($B$1,Alkalis!$A$3:$A$12,0)))</f>
        <v>2.3373221751621185</v>
      </c>
      <c r="K32" s="16">
        <f>100*((I32/1000)/INDEX(Alkalis!$K$3:$K$12,MATCH($B$1,Alkalis!$A$3:$A$12,0)))</f>
        <v>3.5073985595895412</v>
      </c>
      <c r="L32" s="7">
        <f t="shared" si="25"/>
        <v>1.5508132632200659E-2</v>
      </c>
      <c r="M32" s="7">
        <f t="shared" si="26"/>
        <v>2.3271589442876609E-2</v>
      </c>
      <c r="N32" s="23">
        <f t="shared" si="28"/>
        <v>3.0820838485613469E-2</v>
      </c>
      <c r="O32" s="9">
        <f>100*L32/INDEX(Alkalis!G$3:G$12,MATCH($B$1,Alkalis!$A$3:$A$12,0))</f>
        <v>2.3373221751621189</v>
      </c>
      <c r="P32" s="9">
        <f>100*M32/INDEX(Alkalis!H$3:H$12,MATCH($B$1,Alkalis!$A$3:$A$12,0))</f>
        <v>1.329425275228598</v>
      </c>
      <c r="Q32" s="23">
        <f>100*N32/INDEX(Alkalis!I$3:I$12,MATCH($B$1,Alkalis!$A$3:$A$12,0))</f>
        <v>1.6978100655921582</v>
      </c>
      <c r="R32" s="9">
        <f t="shared" si="29"/>
        <v>6.8235783581682904E-2</v>
      </c>
      <c r="S32" s="9">
        <f t="shared" si="30"/>
        <v>0.10239499354865708</v>
      </c>
      <c r="T32" s="23">
        <f t="shared" si="31"/>
        <v>0.13561168933669926</v>
      </c>
      <c r="U32"/>
      <c r="V32"/>
    </row>
    <row r="33" spans="2:22" x14ac:dyDescent="0.35">
      <c r="B33" s="1" t="e">
        <f t="shared" si="22"/>
        <v>#N/A</v>
      </c>
      <c r="C33" s="4">
        <f t="shared" si="23"/>
        <v>0</v>
      </c>
      <c r="D33" s="16"/>
      <c r="E33" s="16">
        <f t="shared" si="27"/>
        <v>0</v>
      </c>
      <c r="F33" s="1"/>
      <c r="G33" s="1"/>
      <c r="H33" s="16" t="e">
        <f t="shared" si="24"/>
        <v>#N/A</v>
      </c>
      <c r="I33" s="16" t="e">
        <f t="shared" si="17"/>
        <v>#N/A</v>
      </c>
      <c r="J33" s="16" t="e">
        <f>100*((H33/1000)/INDEX(Alkalis!$K$3:$K$12,MATCH($B$1,Alkalis!$A$3:$A$12,0)))</f>
        <v>#N/A</v>
      </c>
      <c r="K33" s="16" t="e">
        <f>100*((I33/1000)/INDEX(Alkalis!$K$3:$K$12,MATCH($B$1,Alkalis!$A$3:$A$12,0)))</f>
        <v>#N/A</v>
      </c>
      <c r="L33" s="7" t="e">
        <f t="shared" si="25"/>
        <v>#N/A</v>
      </c>
      <c r="M33" s="7" t="e">
        <f t="shared" si="26"/>
        <v>#N/A</v>
      </c>
      <c r="N33" s="23" t="e">
        <f t="shared" si="28"/>
        <v>#N/A</v>
      </c>
      <c r="O33" s="9" t="e">
        <f>100*L33/INDEX(Alkalis!G$3:G$12,MATCH($B$1,Alkalis!$A$3:$A$12,0))</f>
        <v>#N/A</v>
      </c>
      <c r="P33" s="9" t="e">
        <f>100*M33/INDEX(Alkalis!H$3:H$12,MATCH($B$1,Alkalis!$A$3:$A$12,0))</f>
        <v>#N/A</v>
      </c>
      <c r="Q33" s="23" t="e">
        <f>100*N33/INDEX(Alkalis!I$3:I$12,MATCH($B$1,Alkalis!$A$3:$A$12,0))</f>
        <v>#N/A</v>
      </c>
      <c r="R33" s="9" t="e">
        <f t="shared" si="29"/>
        <v>#N/A</v>
      </c>
      <c r="S33" s="9" t="e">
        <f t="shared" si="30"/>
        <v>#N/A</v>
      </c>
      <c r="T33" s="23" t="e">
        <f t="shared" si="31"/>
        <v>#N/A</v>
      </c>
      <c r="U33"/>
      <c r="V33"/>
    </row>
    <row r="34" spans="2:22" x14ac:dyDescent="0.35">
      <c r="U34"/>
      <c r="V34"/>
    </row>
    <row r="35" spans="2:22" x14ac:dyDescent="0.35">
      <c r="U35"/>
      <c r="V35"/>
    </row>
    <row r="36" spans="2:22" x14ac:dyDescent="0.35">
      <c r="U36"/>
      <c r="V36"/>
    </row>
  </sheetData>
  <mergeCells count="20">
    <mergeCell ref="A7:A17"/>
    <mergeCell ref="R3:R4"/>
    <mergeCell ref="B6:C6"/>
    <mergeCell ref="L5:M5"/>
    <mergeCell ref="P3:P4"/>
    <mergeCell ref="Q3:Q4"/>
    <mergeCell ref="D3:G3"/>
    <mergeCell ref="L3:O3"/>
    <mergeCell ref="H3:K3"/>
    <mergeCell ref="B1:C1"/>
    <mergeCell ref="B3:C4"/>
    <mergeCell ref="B5:C5"/>
    <mergeCell ref="D5:E5"/>
    <mergeCell ref="H5:I5"/>
    <mergeCell ref="C22:C23"/>
    <mergeCell ref="H22:I22"/>
    <mergeCell ref="F22:G22"/>
    <mergeCell ref="J22:T22"/>
    <mergeCell ref="T3:T4"/>
    <mergeCell ref="S3:S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F9702-600A-42C1-BF6F-39E8EED253CE}">
  <sheetPr>
    <tabColor rgb="FFFF0000"/>
  </sheetPr>
  <dimension ref="A1:V37"/>
  <sheetViews>
    <sheetView zoomScale="55" zoomScaleNormal="55" workbookViewId="0">
      <selection activeCell="P38" sqref="P38"/>
    </sheetView>
  </sheetViews>
  <sheetFormatPr defaultColWidth="8.81640625" defaultRowHeight="14.5" x14ac:dyDescent="0.35"/>
  <cols>
    <col min="1" max="1" width="3.54296875" style="17" bestFit="1" customWidth="1"/>
    <col min="2" max="2" width="15.26953125" style="17" bestFit="1" customWidth="1"/>
    <col min="3" max="3" width="15.26953125" style="17" customWidth="1"/>
    <col min="4" max="4" width="13.7265625" style="17" bestFit="1" customWidth="1"/>
    <col min="5" max="5" width="13.81640625" style="17" bestFit="1" customWidth="1"/>
    <col min="6" max="7" width="13.81640625" style="17" customWidth="1"/>
    <col min="8" max="8" width="13.7265625" style="17" bestFit="1" customWidth="1"/>
    <col min="9" max="9" width="13.81640625" style="17" bestFit="1" customWidth="1"/>
    <col min="10" max="11" width="13.81640625" style="17" customWidth="1"/>
    <col min="12" max="12" width="14.7265625" style="17" bestFit="1" customWidth="1"/>
    <col min="13" max="13" width="13.81640625" style="17" bestFit="1" customWidth="1"/>
    <col min="14" max="15" width="13.81640625" style="17" customWidth="1"/>
    <col min="16" max="16" width="17.26953125" style="17" bestFit="1" customWidth="1"/>
    <col min="17" max="17" width="16.26953125" style="17" bestFit="1" customWidth="1"/>
    <col min="18" max="18" width="18.26953125" style="17" customWidth="1"/>
    <col min="19" max="19" width="16.453125" style="17" bestFit="1" customWidth="1"/>
    <col min="20" max="20" width="15.1796875" style="17" bestFit="1" customWidth="1"/>
    <col min="21" max="21" width="16.26953125" style="17" bestFit="1" customWidth="1"/>
    <col min="22" max="22" width="18.7265625" style="17" bestFit="1" customWidth="1"/>
    <col min="23" max="16384" width="8.81640625" style="17"/>
  </cols>
  <sheetData>
    <row r="1" spans="1:20" x14ac:dyDescent="0.35">
      <c r="B1" s="41" t="s">
        <v>84</v>
      </c>
      <c r="C1" s="41"/>
    </row>
    <row r="2" spans="1:20" x14ac:dyDescent="0.35">
      <c r="L2"/>
    </row>
    <row r="3" spans="1:20" ht="14.5" customHeight="1" x14ac:dyDescent="0.35">
      <c r="B3" s="42" t="s">
        <v>3</v>
      </c>
      <c r="C3" s="43"/>
      <c r="D3" s="46" t="s">
        <v>34</v>
      </c>
      <c r="E3" s="53"/>
      <c r="F3" s="53"/>
      <c r="G3" s="47"/>
      <c r="H3" s="46" t="s">
        <v>35</v>
      </c>
      <c r="I3" s="53"/>
      <c r="J3" s="53"/>
      <c r="K3" s="47"/>
      <c r="L3" s="46" t="s">
        <v>36</v>
      </c>
      <c r="M3" s="53"/>
      <c r="N3" s="53"/>
      <c r="O3" s="47"/>
      <c r="P3" s="51" t="s">
        <v>103</v>
      </c>
      <c r="Q3" s="39" t="s">
        <v>82</v>
      </c>
      <c r="R3" s="51" t="s">
        <v>38</v>
      </c>
      <c r="S3" s="51" t="s">
        <v>81</v>
      </c>
      <c r="T3" s="39" t="s">
        <v>82</v>
      </c>
    </row>
    <row r="4" spans="1:20" ht="14.5" customHeight="1" x14ac:dyDescent="0.35">
      <c r="B4" s="44"/>
      <c r="C4" s="45"/>
      <c r="D4" s="1" t="s">
        <v>80</v>
      </c>
      <c r="E4" s="1" t="s">
        <v>102</v>
      </c>
      <c r="F4" s="15" t="s">
        <v>15</v>
      </c>
      <c r="G4" s="15" t="s">
        <v>83</v>
      </c>
      <c r="H4" s="1" t="s">
        <v>80</v>
      </c>
      <c r="I4" s="1" t="s">
        <v>102</v>
      </c>
      <c r="J4" s="15" t="s">
        <v>15</v>
      </c>
      <c r="K4" s="15" t="s">
        <v>83</v>
      </c>
      <c r="L4" s="1" t="s">
        <v>80</v>
      </c>
      <c r="M4" s="1" t="s">
        <v>102</v>
      </c>
      <c r="N4" s="15" t="s">
        <v>15</v>
      </c>
      <c r="O4" s="15" t="s">
        <v>83</v>
      </c>
      <c r="P4" s="51"/>
      <c r="Q4" s="39"/>
      <c r="R4" s="51"/>
      <c r="S4" s="51"/>
      <c r="T4" s="39"/>
    </row>
    <row r="5" spans="1:20" ht="16.5" x14ac:dyDescent="0.35">
      <c r="A5" s="20"/>
      <c r="B5" s="46" t="s">
        <v>1</v>
      </c>
      <c r="C5" s="47"/>
      <c r="D5" s="39">
        <v>400</v>
      </c>
      <c r="E5" s="39"/>
      <c r="F5" s="1"/>
      <c r="G5" s="1"/>
      <c r="H5" s="39">
        <v>400</v>
      </c>
      <c r="I5" s="39"/>
      <c r="J5" s="1"/>
      <c r="K5" s="1"/>
      <c r="L5" s="39">
        <v>400</v>
      </c>
      <c r="M5" s="39"/>
      <c r="N5" s="1"/>
      <c r="O5" s="1"/>
      <c r="P5" s="2"/>
      <c r="Q5" s="2"/>
      <c r="R5" s="2"/>
      <c r="S5" s="2"/>
      <c r="T5" s="2"/>
    </row>
    <row r="6" spans="1:20" x14ac:dyDescent="0.35">
      <c r="A6" s="20"/>
      <c r="B6" s="46" t="s">
        <v>2</v>
      </c>
      <c r="C6" s="47"/>
      <c r="D6" s="7">
        <v>-3.903</v>
      </c>
      <c r="E6" s="5">
        <f>100*(D7-$D$6)/$D$5</f>
        <v>1.100000000000001E-2</v>
      </c>
      <c r="F6" s="16">
        <v>9448.9</v>
      </c>
      <c r="G6" s="16"/>
      <c r="H6" s="7">
        <v>-3.5495000000000001</v>
      </c>
      <c r="I6" s="5">
        <f>100*(H7-$H$6)/$H$5</f>
        <v>1.4500000000000068E-2</v>
      </c>
      <c r="J6" s="16">
        <v>9496.7000000000007</v>
      </c>
      <c r="K6" s="16"/>
      <c r="L6" s="7">
        <v>-3.9</v>
      </c>
      <c r="M6" s="5">
        <f>100*(L7-$L$6)/$L$5</f>
        <v>1.7500000000000293E-3</v>
      </c>
      <c r="N6" s="16">
        <v>9519.2999999999993</v>
      </c>
      <c r="O6" s="16"/>
      <c r="P6" s="6">
        <f>IF(ISBLANK(D6),NA(),AVERAGE(E6,I6,M6))</f>
        <v>9.0833333333333686E-3</v>
      </c>
      <c r="Q6" s="6">
        <f>IF(ISBLANK(D6),NA(),_xlfn.STDEV.P(E6,I6,M6))</f>
        <v>5.3787131877016522E-3</v>
      </c>
      <c r="R6" s="24"/>
      <c r="S6" s="2"/>
      <c r="T6" s="2"/>
    </row>
    <row r="7" spans="1:20" ht="15" customHeight="1" x14ac:dyDescent="0.35">
      <c r="A7" s="52" t="s">
        <v>0</v>
      </c>
      <c r="B7" s="1">
        <v>1</v>
      </c>
      <c r="C7" s="4">
        <v>44588</v>
      </c>
      <c r="D7" s="7">
        <v>-3.859</v>
      </c>
      <c r="E7" s="3">
        <f>IF(ISBLANK(D7),NA(),100*(D7-$D$7)/$D$5)</f>
        <v>0</v>
      </c>
      <c r="F7" s="16">
        <v>9407.4</v>
      </c>
      <c r="G7" s="3">
        <f>IF(ISBLANK(F7),NA(),100*(F7-$F$7)/$F$7)</f>
        <v>0</v>
      </c>
      <c r="H7" s="7">
        <v>-3.4914999999999998</v>
      </c>
      <c r="I7" s="3">
        <f>IF(ISBLANK(H7),NA(),100*(H7-$H$7)/$H$5)</f>
        <v>0</v>
      </c>
      <c r="J7" s="16">
        <v>9455.2999999999993</v>
      </c>
      <c r="K7" s="3">
        <f>IF(ISBLANK(J7),NA(),100*(J7-$J$7)/$J$7)</f>
        <v>0</v>
      </c>
      <c r="L7" s="7">
        <v>-3.8929999999999998</v>
      </c>
      <c r="M7" s="3">
        <f>100*(L7-$L$7)/$L$5</f>
        <v>0</v>
      </c>
      <c r="N7" s="16">
        <v>9475</v>
      </c>
      <c r="O7" s="3">
        <f>IF(ISBLANK(N7),NA(),100*(N7-$N$7)/$N$7)</f>
        <v>0</v>
      </c>
      <c r="P7" s="23">
        <f t="shared" ref="P7:P13" si="0">IF(ISBLANK(D7),NA(),AVERAGE(E7,I7,M7))</f>
        <v>0</v>
      </c>
      <c r="Q7" s="8">
        <f t="shared" ref="Q7:Q13" si="1">IF(ISBLANK(D7),NA(),_xlfn.STDEV.P(E7,I7,M7))</f>
        <v>0</v>
      </c>
      <c r="R7" s="8"/>
      <c r="S7" s="23">
        <f>AVERAGE(G7,K7,O7)</f>
        <v>0</v>
      </c>
      <c r="T7" s="9">
        <f>_xlfn.STDEV.P(G7,K7,O7)</f>
        <v>0</v>
      </c>
    </row>
    <row r="8" spans="1:20" x14ac:dyDescent="0.35">
      <c r="A8" s="52"/>
      <c r="B8" s="1">
        <f>IF(ISBLANK(C8),NA(),C8-C$7+1)</f>
        <v>7</v>
      </c>
      <c r="C8" s="4">
        <v>44594</v>
      </c>
      <c r="D8" s="7">
        <v>-3.8839999999999999</v>
      </c>
      <c r="E8" s="3">
        <f t="shared" ref="E8:E17" si="2">IF(ISBLANK(D8),NA(),100*(D8-$D$7)/$D$5)</f>
        <v>-6.2499999999999778E-3</v>
      </c>
      <c r="F8" s="16">
        <v>9406.5</v>
      </c>
      <c r="G8" s="3">
        <f t="shared" ref="G8:G17" si="3">IF(ISBLANK(F8),NA(),100*(F8-$F$7)/$F$7)</f>
        <v>-9.5669366668753985E-3</v>
      </c>
      <c r="H8" s="7">
        <v>-3.532</v>
      </c>
      <c r="I8" s="3">
        <f t="shared" ref="I8:I17" si="4">IF(ISBLANK(H8),NA(),100*(H8-$H$7)/$H$5)</f>
        <v>-1.0125000000000051E-2</v>
      </c>
      <c r="J8" s="16">
        <v>9450.7999999999993</v>
      </c>
      <c r="K8" s="3">
        <f t="shared" ref="K8:K17" si="5">IF(ISBLANK(J8),NA(),100*(J8-$J$7)/$J$7)</f>
        <v>-4.759235561008112E-2</v>
      </c>
      <c r="L8" s="7">
        <v>-3.97</v>
      </c>
      <c r="M8" s="3">
        <f t="shared" ref="M8:M17" si="6">100*(L8-$L$7)/$L$5</f>
        <v>-1.92500000000001E-2</v>
      </c>
      <c r="N8" s="16">
        <v>9471.2999999999993</v>
      </c>
      <c r="O8" s="3">
        <f t="shared" ref="O8:O17" si="7">IF(ISBLANK(N8),NA(),100*(N8-$N$7)/$N$7)</f>
        <v>-3.905013192612905E-2</v>
      </c>
      <c r="P8" s="23">
        <f t="shared" si="0"/>
        <v>-1.1875000000000044E-2</v>
      </c>
      <c r="Q8" s="8">
        <f t="shared" si="1"/>
        <v>5.4495794944809427E-3</v>
      </c>
      <c r="R8" s="8"/>
      <c r="S8" s="23">
        <f t="shared" ref="S8:S14" si="8">AVERAGE(G8,K8,O8)</f>
        <v>-3.2069808067695188E-2</v>
      </c>
      <c r="T8" s="9">
        <f t="shared" ref="T8:T14" si="9">_xlfn.STDEV.P(G8,K8,O8)</f>
        <v>1.6289604299021362E-2</v>
      </c>
    </row>
    <row r="9" spans="1:20" x14ac:dyDescent="0.35">
      <c r="A9" s="52"/>
      <c r="B9" s="1">
        <f t="shared" ref="B9:B17" si="10">IF(ISBLANK(C9),NA(),C9-C$7+1)</f>
        <v>28</v>
      </c>
      <c r="C9" s="4">
        <v>44615</v>
      </c>
      <c r="D9" s="7">
        <v>-3.8570000000000002</v>
      </c>
      <c r="E9" s="3">
        <f t="shared" si="2"/>
        <v>4.9999999999994493E-4</v>
      </c>
      <c r="F9" s="16">
        <v>9417</v>
      </c>
      <c r="G9" s="3">
        <f t="shared" si="3"/>
        <v>0.10204732444671603</v>
      </c>
      <c r="H9" s="7">
        <v>-3.52</v>
      </c>
      <c r="I9" s="3">
        <f t="shared" si="4"/>
        <v>-7.125000000000048E-3</v>
      </c>
      <c r="J9" s="16">
        <v>9460.2000000000007</v>
      </c>
      <c r="K9" s="3">
        <f t="shared" si="5"/>
        <v>5.1822787219881504E-2</v>
      </c>
      <c r="L9" s="7">
        <v>-3.976</v>
      </c>
      <c r="M9" s="3">
        <f t="shared" si="6"/>
        <v>-2.0750000000000046E-2</v>
      </c>
      <c r="N9" s="16">
        <v>9480.2999999999993</v>
      </c>
      <c r="O9" s="3">
        <f t="shared" si="7"/>
        <v>5.5936675461733747E-2</v>
      </c>
      <c r="P9" s="23">
        <f t="shared" si="0"/>
        <v>-9.1250000000000497E-3</v>
      </c>
      <c r="Q9" s="8">
        <f t="shared" si="1"/>
        <v>8.7897904791107862E-3</v>
      </c>
      <c r="R9" s="8" t="s">
        <v>48</v>
      </c>
      <c r="S9" s="23">
        <f t="shared" si="8"/>
        <v>6.9935595709443757E-2</v>
      </c>
      <c r="T9" s="9">
        <f t="shared" si="9"/>
        <v>2.2768448358620168E-2</v>
      </c>
    </row>
    <row r="10" spans="1:20" x14ac:dyDescent="0.35">
      <c r="A10" s="52"/>
      <c r="B10" s="1">
        <f t="shared" si="10"/>
        <v>56</v>
      </c>
      <c r="C10" s="4">
        <v>44643</v>
      </c>
      <c r="D10" s="7">
        <v>-3.8410000000000002</v>
      </c>
      <c r="E10" s="3">
        <f t="shared" si="2"/>
        <v>4.4999999999999485E-3</v>
      </c>
      <c r="F10" s="16">
        <v>9421.4</v>
      </c>
      <c r="G10" s="3">
        <f t="shared" si="3"/>
        <v>0.1488190148181219</v>
      </c>
      <c r="H10" s="7">
        <v>-3.5129999999999999</v>
      </c>
      <c r="I10" s="3">
        <f t="shared" si="4"/>
        <v>-5.3750000000000187E-3</v>
      </c>
      <c r="J10" s="16">
        <v>9464.6</v>
      </c>
      <c r="K10" s="3">
        <f t="shared" si="5"/>
        <v>9.8357534927512522E-2</v>
      </c>
      <c r="L10" s="7">
        <v>-3.968</v>
      </c>
      <c r="M10" s="3">
        <f t="shared" si="6"/>
        <v>-1.8750000000000044E-2</v>
      </c>
      <c r="N10" s="16">
        <v>9483.6</v>
      </c>
      <c r="O10" s="3">
        <f t="shared" si="7"/>
        <v>9.0765171503961628E-2</v>
      </c>
      <c r="P10" s="23">
        <f t="shared" si="0"/>
        <v>-6.5416666666667051E-3</v>
      </c>
      <c r="Q10" s="8">
        <f t="shared" si="1"/>
        <v>9.5275550670439867E-3</v>
      </c>
      <c r="R10" s="8"/>
      <c r="S10" s="23">
        <f t="shared" si="8"/>
        <v>0.11264724041653201</v>
      </c>
      <c r="T10" s="9">
        <f t="shared" si="9"/>
        <v>2.5764432112357984E-2</v>
      </c>
    </row>
    <row r="11" spans="1:20" x14ac:dyDescent="0.35">
      <c r="A11" s="52"/>
      <c r="B11" s="1">
        <f t="shared" si="10"/>
        <v>83</v>
      </c>
      <c r="C11" s="4">
        <v>44670</v>
      </c>
      <c r="D11" s="7">
        <v>-3.8479999999999999</v>
      </c>
      <c r="E11" s="3">
        <f t="shared" si="2"/>
        <v>2.7500000000000302E-3</v>
      </c>
      <c r="F11" s="16">
        <v>9425.1</v>
      </c>
      <c r="G11" s="3">
        <f t="shared" si="3"/>
        <v>0.1881497544486333</v>
      </c>
      <c r="H11" s="7">
        <v>-3.5190000000000001</v>
      </c>
      <c r="I11" s="3">
        <f t="shared" si="4"/>
        <v>-6.8750000000000755E-3</v>
      </c>
      <c r="J11" s="16">
        <v>9468.1</v>
      </c>
      <c r="K11" s="3">
        <f t="shared" si="5"/>
        <v>0.13537381151313119</v>
      </c>
      <c r="L11" s="7">
        <v>-3.9740000000000002</v>
      </c>
      <c r="M11" s="3">
        <f t="shared" si="6"/>
        <v>-2.0250000000000101E-2</v>
      </c>
      <c r="N11" s="16">
        <v>9487.2000000000007</v>
      </c>
      <c r="O11" s="3">
        <f t="shared" si="7"/>
        <v>0.12875989445911057</v>
      </c>
      <c r="P11" s="23">
        <f t="shared" si="0"/>
        <v>-8.1250000000000488E-3</v>
      </c>
      <c r="Q11" s="8">
        <f t="shared" si="1"/>
        <v>9.4312203169403096E-3</v>
      </c>
      <c r="R11" s="8"/>
      <c r="S11" s="23">
        <f t="shared" si="8"/>
        <v>0.15076115347362501</v>
      </c>
      <c r="T11" s="9">
        <f t="shared" si="9"/>
        <v>2.6575259005958432E-2</v>
      </c>
    </row>
    <row r="12" spans="1:20" x14ac:dyDescent="0.35">
      <c r="A12" s="52"/>
      <c r="B12" s="1">
        <f t="shared" si="10"/>
        <v>191</v>
      </c>
      <c r="C12" s="4">
        <v>44778</v>
      </c>
      <c r="D12" s="7">
        <v>-3.847</v>
      </c>
      <c r="E12" s="3">
        <f t="shared" si="2"/>
        <v>3.0000000000000027E-3</v>
      </c>
      <c r="F12" s="16">
        <v>9435</v>
      </c>
      <c r="G12" s="3">
        <f t="shared" si="3"/>
        <v>0.29338605778430132</v>
      </c>
      <c r="H12" s="7">
        <v>-3.5070000000000001</v>
      </c>
      <c r="I12" s="3">
        <f t="shared" si="4"/>
        <v>-3.8750000000000728E-3</v>
      </c>
      <c r="J12" s="16">
        <v>9485</v>
      </c>
      <c r="K12" s="3">
        <f t="shared" si="5"/>
        <v>0.31410954702654309</v>
      </c>
      <c r="L12" s="7">
        <v>-3.9660000000000002</v>
      </c>
      <c r="M12" s="3">
        <f t="shared" si="6"/>
        <v>-1.8250000000000099E-2</v>
      </c>
      <c r="N12" s="16">
        <v>9500</v>
      </c>
      <c r="O12" s="3">
        <f t="shared" si="7"/>
        <v>0.26385224274406333</v>
      </c>
      <c r="P12" s="23">
        <f t="shared" si="0"/>
        <v>-6.3750000000000568E-3</v>
      </c>
      <c r="Q12" s="8">
        <f t="shared" si="1"/>
        <v>8.8535539003649459E-3</v>
      </c>
      <c r="R12" s="8"/>
      <c r="S12" s="23">
        <f t="shared" si="8"/>
        <v>0.29044928251830254</v>
      </c>
      <c r="T12" s="9">
        <f t="shared" si="9"/>
        <v>2.0622279944397939E-2</v>
      </c>
    </row>
    <row r="13" spans="1:20" x14ac:dyDescent="0.35">
      <c r="A13" s="52"/>
      <c r="B13" s="1">
        <f t="shared" si="10"/>
        <v>365</v>
      </c>
      <c r="C13" s="4">
        <v>44952</v>
      </c>
      <c r="D13" s="7">
        <v>-3.843</v>
      </c>
      <c r="E13" s="3">
        <f t="shared" si="2"/>
        <v>4.0000000000000036E-3</v>
      </c>
      <c r="F13" s="16">
        <v>9455</v>
      </c>
      <c r="G13" s="3">
        <f t="shared" si="3"/>
        <v>0.50598465038161833</v>
      </c>
      <c r="H13" s="7">
        <v>-3.49</v>
      </c>
      <c r="I13" s="3">
        <f t="shared" si="4"/>
        <v>3.7499999999990319E-4</v>
      </c>
      <c r="J13" s="16">
        <v>9510</v>
      </c>
      <c r="K13" s="3">
        <f t="shared" si="5"/>
        <v>0.5785115226381049</v>
      </c>
      <c r="L13" s="7">
        <v>-3.95</v>
      </c>
      <c r="M13" s="3">
        <f t="shared" si="6"/>
        <v>-1.4250000000000096E-2</v>
      </c>
      <c r="N13" s="16">
        <v>9520</v>
      </c>
      <c r="O13" s="3">
        <f t="shared" si="7"/>
        <v>0.47493403693931396</v>
      </c>
      <c r="P13" s="23">
        <f t="shared" si="0"/>
        <v>-3.2916666666667296E-3</v>
      </c>
      <c r="Q13" s="8">
        <f t="shared" si="1"/>
        <v>7.888766626595654E-3</v>
      </c>
      <c r="R13" s="8"/>
      <c r="S13" s="23">
        <f t="shared" si="8"/>
        <v>0.51981006998634571</v>
      </c>
      <c r="T13" s="9">
        <f t="shared" si="9"/>
        <v>4.3400695511753386E-2</v>
      </c>
    </row>
    <row r="14" spans="1:20" x14ac:dyDescent="0.35">
      <c r="A14" s="52"/>
      <c r="B14" s="1">
        <f t="shared" si="10"/>
        <v>456</v>
      </c>
      <c r="C14" s="4">
        <v>45043</v>
      </c>
      <c r="D14" s="7">
        <v>-3.847</v>
      </c>
      <c r="E14" s="3">
        <f t="shared" si="2"/>
        <v>3.0000000000000027E-3</v>
      </c>
      <c r="F14" s="16">
        <v>9460</v>
      </c>
      <c r="G14" s="3">
        <f t="shared" si="3"/>
        <v>0.55913429853094765</v>
      </c>
      <c r="H14" s="7">
        <v>-3.4940000000000002</v>
      </c>
      <c r="I14" s="3">
        <f t="shared" si="4"/>
        <v>-6.250000000000977E-4</v>
      </c>
      <c r="J14" s="16">
        <v>9515</v>
      </c>
      <c r="K14" s="3">
        <f t="shared" si="5"/>
        <v>0.63139191776041725</v>
      </c>
      <c r="L14" s="7">
        <v>-3.952</v>
      </c>
      <c r="M14" s="3">
        <f t="shared" si="6"/>
        <v>-1.4750000000000041E-2</v>
      </c>
      <c r="N14" s="16">
        <v>9535</v>
      </c>
      <c r="O14" s="3">
        <f t="shared" si="7"/>
        <v>0.63324538258575203</v>
      </c>
      <c r="P14" s="23">
        <f t="shared" ref="P14" si="11">IF(ISBLANK(D14),NA(),AVERAGE(E14,I14,M14))</f>
        <v>-4.1250000000000453E-3</v>
      </c>
      <c r="Q14" s="8">
        <f t="shared" ref="Q14" si="12">IF(ISBLANK(D14),NA(),_xlfn.STDEV.P(E14,I14,M14))</f>
        <v>7.6573766177893288E-3</v>
      </c>
      <c r="R14" s="8"/>
      <c r="S14" s="23">
        <f t="shared" si="8"/>
        <v>0.60792386629237238</v>
      </c>
      <c r="T14" s="9">
        <f t="shared" si="9"/>
        <v>3.4507731256678068E-2</v>
      </c>
    </row>
    <row r="15" spans="1:20" x14ac:dyDescent="0.35">
      <c r="A15" s="52"/>
      <c r="B15" s="1">
        <f t="shared" si="10"/>
        <v>554</v>
      </c>
      <c r="C15" s="4">
        <v>45141</v>
      </c>
      <c r="D15" s="7">
        <v>-3.8540000000000001</v>
      </c>
      <c r="E15" s="3">
        <f t="shared" si="2"/>
        <v>1.2499999999999734E-3</v>
      </c>
      <c r="F15" s="16">
        <v>9465</v>
      </c>
      <c r="G15" s="3">
        <f t="shared" si="3"/>
        <v>0.61228394668027686</v>
      </c>
      <c r="H15" s="7">
        <v>-3.4969999999999999</v>
      </c>
      <c r="I15" s="3">
        <f t="shared" si="4"/>
        <v>-1.3750000000000151E-3</v>
      </c>
      <c r="J15" s="16">
        <v>9520</v>
      </c>
      <c r="K15" s="3">
        <f t="shared" si="5"/>
        <v>0.68427231288272961</v>
      </c>
      <c r="L15" s="7">
        <v>-3.9580000000000002</v>
      </c>
      <c r="M15" s="3">
        <f t="shared" si="6"/>
        <v>-1.6250000000000098E-2</v>
      </c>
      <c r="N15" s="16">
        <v>9540</v>
      </c>
      <c r="O15" s="3">
        <f t="shared" si="7"/>
        <v>0.68601583113456466</v>
      </c>
      <c r="P15" s="23">
        <f t="shared" ref="P15:P17" si="13">IF(ISBLANK(D15),NA(),AVERAGE(E15,I15,M15))</f>
        <v>-5.4583333333333801E-3</v>
      </c>
      <c r="Q15" s="8">
        <f t="shared" ref="Q15:Q17" si="14">IF(ISBLANK(D15),NA(),_xlfn.STDEV.P(E15,I15,M15))</f>
        <v>7.705742807946731E-3</v>
      </c>
      <c r="R15" s="8"/>
      <c r="S15" s="23">
        <f t="shared" ref="S15:S17" si="15">AVERAGE(G15,K15,O15)</f>
        <v>0.660857363565857</v>
      </c>
      <c r="T15" s="9">
        <f t="shared" ref="T15:T17" si="16">_xlfn.STDEV.P(G15,K15,O15)</f>
        <v>3.4353967116175436E-2</v>
      </c>
    </row>
    <row r="16" spans="1:20" x14ac:dyDescent="0.35">
      <c r="A16" s="52"/>
      <c r="B16" s="1">
        <f>IF(ISBLANK(C16),NA(),C16-C$7+1)</f>
        <v>722</v>
      </c>
      <c r="C16" s="4">
        <v>45309</v>
      </c>
      <c r="D16" s="7">
        <v>-3.851</v>
      </c>
      <c r="E16" s="3">
        <f t="shared" si="2"/>
        <v>2.0000000000000018E-3</v>
      </c>
      <c r="F16" s="16">
        <v>9465</v>
      </c>
      <c r="G16" s="3">
        <f t="shared" si="3"/>
        <v>0.61228394668027686</v>
      </c>
      <c r="H16" s="7">
        <v>-3.4929999999999999</v>
      </c>
      <c r="I16" s="3">
        <f t="shared" si="4"/>
        <v>-3.7500000000001421E-4</v>
      </c>
      <c r="J16" s="16">
        <v>9515</v>
      </c>
      <c r="K16" s="3">
        <f t="shared" si="5"/>
        <v>0.63139191776041725</v>
      </c>
      <c r="L16" s="7">
        <v>-3.956</v>
      </c>
      <c r="M16" s="3">
        <f t="shared" si="6"/>
        <v>-1.5750000000000042E-2</v>
      </c>
      <c r="N16" s="16">
        <v>9545</v>
      </c>
      <c r="O16" s="3">
        <f t="shared" si="7"/>
        <v>0.73878627968337729</v>
      </c>
      <c r="P16" s="23">
        <f t="shared" si="13"/>
        <v>-4.7083333333333517E-3</v>
      </c>
      <c r="Q16" s="8">
        <f t="shared" si="14"/>
        <v>7.8676111721129073E-3</v>
      </c>
      <c r="R16" s="8"/>
      <c r="S16" s="23">
        <f t="shared" si="15"/>
        <v>0.66082071470802384</v>
      </c>
      <c r="T16" s="9">
        <f t="shared" si="16"/>
        <v>5.5679144097495012E-2</v>
      </c>
    </row>
    <row r="17" spans="1:22" x14ac:dyDescent="0.35">
      <c r="A17" s="52"/>
      <c r="B17" s="1" t="e">
        <f t="shared" si="10"/>
        <v>#N/A</v>
      </c>
      <c r="C17" s="4"/>
      <c r="D17" s="7"/>
      <c r="E17" s="3" t="e">
        <f t="shared" si="2"/>
        <v>#N/A</v>
      </c>
      <c r="F17" s="16"/>
      <c r="G17" s="3" t="e">
        <f t="shared" si="3"/>
        <v>#N/A</v>
      </c>
      <c r="H17" s="7"/>
      <c r="I17" s="3" t="e">
        <f t="shared" si="4"/>
        <v>#N/A</v>
      </c>
      <c r="J17" s="16"/>
      <c r="K17" s="3" t="e">
        <f t="shared" si="5"/>
        <v>#N/A</v>
      </c>
      <c r="L17" s="7"/>
      <c r="M17" s="3">
        <f t="shared" si="6"/>
        <v>0.97324999999999984</v>
      </c>
      <c r="N17" s="16"/>
      <c r="O17" s="3" t="e">
        <f t="shared" si="7"/>
        <v>#N/A</v>
      </c>
      <c r="P17" s="23" t="e">
        <f t="shared" si="13"/>
        <v>#N/A</v>
      </c>
      <c r="Q17" s="8" t="e">
        <f t="shared" si="14"/>
        <v>#N/A</v>
      </c>
      <c r="R17" s="8"/>
      <c r="S17" s="23" t="e">
        <f t="shared" si="15"/>
        <v>#N/A</v>
      </c>
      <c r="T17" s="9" t="e">
        <f t="shared" si="16"/>
        <v>#N/A</v>
      </c>
    </row>
    <row r="19" spans="1:22" x14ac:dyDescent="0.35">
      <c r="B19" s="21"/>
      <c r="S19"/>
      <c r="T19"/>
      <c r="U19"/>
    </row>
    <row r="20" spans="1:22" x14ac:dyDescent="0.35">
      <c r="S20"/>
      <c r="T20"/>
      <c r="U20"/>
    </row>
    <row r="21" spans="1:22" x14ac:dyDescent="0.35">
      <c r="C21" s="21"/>
    </row>
    <row r="22" spans="1:22" x14ac:dyDescent="0.35">
      <c r="C22" s="40" t="s">
        <v>10</v>
      </c>
      <c r="D22" s="13" t="s">
        <v>9</v>
      </c>
      <c r="E22" s="13" t="s">
        <v>11</v>
      </c>
      <c r="F22" s="48" t="s">
        <v>14</v>
      </c>
      <c r="G22" s="50"/>
      <c r="H22" s="48" t="s">
        <v>55</v>
      </c>
      <c r="I22" s="49"/>
      <c r="J22" s="40" t="s">
        <v>63</v>
      </c>
      <c r="K22" s="40"/>
      <c r="L22" s="40"/>
      <c r="M22" s="40"/>
      <c r="N22" s="40"/>
      <c r="O22" s="40"/>
      <c r="P22" s="40"/>
      <c r="Q22" s="40"/>
      <c r="R22" s="40"/>
      <c r="S22" s="40"/>
      <c r="T22" s="40"/>
      <c r="U22"/>
      <c r="V22"/>
    </row>
    <row r="23" spans="1:22" ht="16.5" x14ac:dyDescent="0.35">
      <c r="C23" s="40"/>
      <c r="D23" s="13"/>
      <c r="E23" s="13"/>
      <c r="F23" s="14" t="s">
        <v>12</v>
      </c>
      <c r="G23" s="14" t="s">
        <v>13</v>
      </c>
      <c r="H23" s="14" t="s">
        <v>52</v>
      </c>
      <c r="I23" s="14" t="s">
        <v>54</v>
      </c>
      <c r="J23" s="14" t="s">
        <v>65</v>
      </c>
      <c r="K23" s="14" t="s">
        <v>67</v>
      </c>
      <c r="L23" s="14" t="s">
        <v>69</v>
      </c>
      <c r="M23" s="14" t="s">
        <v>71</v>
      </c>
      <c r="N23" s="14" t="s">
        <v>73</v>
      </c>
      <c r="O23" s="14" t="s">
        <v>89</v>
      </c>
      <c r="P23" s="14" t="s">
        <v>90</v>
      </c>
      <c r="Q23" s="14" t="s">
        <v>92</v>
      </c>
      <c r="R23" s="14" t="s">
        <v>75</v>
      </c>
      <c r="S23" s="14" t="s">
        <v>77</v>
      </c>
      <c r="T23" s="14" t="s">
        <v>79</v>
      </c>
      <c r="U23"/>
      <c r="V23"/>
    </row>
    <row r="24" spans="1:22" x14ac:dyDescent="0.35">
      <c r="B24" s="1">
        <f>IF(ISBLANK(D24),NA(),C24-$C$24)</f>
        <v>0</v>
      </c>
      <c r="C24" s="4">
        <f>C7-1</f>
        <v>44587</v>
      </c>
      <c r="D24" s="16">
        <v>25.4</v>
      </c>
      <c r="E24" s="16">
        <f>D24/0.0129</f>
        <v>1968.9922480620155</v>
      </c>
      <c r="F24" s="1">
        <v>0</v>
      </c>
      <c r="G24" s="1">
        <v>0</v>
      </c>
      <c r="H24" s="16">
        <f>IF(ISBLANK(F24),NA(),F24*62/(23*2)*$E24/1000)</f>
        <v>0</v>
      </c>
      <c r="I24" s="16">
        <f t="shared" ref="I24:I33" si="17">IF(ISBLANK(G24),NA(),G24*62/(23*2)*$E24/1000)</f>
        <v>0</v>
      </c>
      <c r="J24" s="16">
        <f>100*((H24/1000)/INDEX(Alkalis!$K$3:$K$12,MATCH($B$1,Alkalis!$A$3:$A$12,0)))</f>
        <v>0</v>
      </c>
      <c r="K24" s="16">
        <f>100*((I24/1000)/INDEX(Alkalis!$K$3:$K$12,MATCH($B$1,Alkalis!$A$3:$A$12,0)))</f>
        <v>0</v>
      </c>
      <c r="L24" s="7">
        <f>100*(H24/1000)/(3*440*0.1*0.1*0.4*1000)</f>
        <v>0</v>
      </c>
      <c r="M24" s="7">
        <f>100*(I24/1000)/(3*440*0.1*0.1*0.4*1000)</f>
        <v>0</v>
      </c>
      <c r="N24" s="23">
        <f t="shared" ref="N24:N30" si="18">L24+0.658*M24</f>
        <v>0</v>
      </c>
      <c r="O24" s="9">
        <f>100*L24/INDEX(Alkalis!G$3:G$12,MATCH($B$1,Alkalis!$A$3:$A$12,0))</f>
        <v>0</v>
      </c>
      <c r="P24" s="9">
        <f>100*M24/INDEX(Alkalis!H$3:H$12,MATCH($B$1,Alkalis!$A$3:$A$12,0))</f>
        <v>0</v>
      </c>
      <c r="Q24" s="23">
        <f>100*N24/INDEX(Alkalis!I$3:I$12,MATCH($B$1,Alkalis!$A$3:$A$12,0))</f>
        <v>0</v>
      </c>
      <c r="R24" s="9">
        <f t="shared" ref="R24:R30" si="19">440*L24/100</f>
        <v>0</v>
      </c>
      <c r="S24" s="9">
        <f t="shared" ref="S24:S30" si="20">440*M24/100</f>
        <v>0</v>
      </c>
      <c r="T24" s="23">
        <f t="shared" ref="T24:T30" si="21">440*N24/100</f>
        <v>0</v>
      </c>
      <c r="U24"/>
      <c r="V24"/>
    </row>
    <row r="25" spans="1:22" x14ac:dyDescent="0.35">
      <c r="B25" s="1">
        <f t="shared" ref="B25:B33" si="22">IF(ISBLANK(D25),NA(),C25-$C$24)</f>
        <v>28</v>
      </c>
      <c r="C25" s="4">
        <f t="shared" ref="C25:C33" si="23">C9</f>
        <v>44615</v>
      </c>
      <c r="D25" s="16">
        <v>25.8</v>
      </c>
      <c r="E25" s="16">
        <f>D25/0.0129</f>
        <v>2000</v>
      </c>
      <c r="F25" s="1">
        <v>15.4665241827387</v>
      </c>
      <c r="G25" s="1">
        <v>40.779659237377288</v>
      </c>
      <c r="H25" s="16">
        <f t="shared" ref="H25:H33" si="24">IF(ISBLANK(F25),NA(),F25*62/(23*2)*$E25/1000)</f>
        <v>41.692369536078239</v>
      </c>
      <c r="I25" s="16">
        <f t="shared" si="17"/>
        <v>109.92777707466921</v>
      </c>
      <c r="J25" s="16">
        <f>100*((H25/1000)/INDEX(Alkalis!$K$3:$K$12,MATCH($B$1,Alkalis!$A$3:$A$12,0)))</f>
        <v>0.12092315634158843</v>
      </c>
      <c r="K25" s="16">
        <f>100*((I25/1000)/INDEX(Alkalis!$K$3:$K$12,MATCH($B$1,Alkalis!$A$3:$A$12,0)))</f>
        <v>0.31883085373645292</v>
      </c>
      <c r="L25" s="7">
        <f t="shared" ref="L25:L33" si="25">100*(H25/1000)/(3*440*0.1*0.1*0.4*1000)</f>
        <v>7.8962821091057254E-4</v>
      </c>
      <c r="M25" s="7">
        <f t="shared" ref="M25:M33" si="26">100*(I25/1000)/(3*440*0.1*0.1*0.4*1000)</f>
        <v>2.0819654748990375E-3</v>
      </c>
      <c r="N25" s="23">
        <f t="shared" si="18"/>
        <v>2.1595614933941393E-3</v>
      </c>
      <c r="O25" s="9">
        <f>100*L25/INDEX(Alkalis!G$3:G$12,MATCH($B$1,Alkalis!$A$3:$A$12,0))</f>
        <v>0.12092315634158846</v>
      </c>
      <c r="P25" s="9">
        <f>100*M25/INDEX(Alkalis!H$3:H$12,MATCH($B$1,Alkalis!$A$3:$A$12,0))</f>
        <v>0.12871502163208884</v>
      </c>
      <c r="Q25" s="23">
        <f>100*N25/INDEX(Alkalis!I$3:I$12,MATCH($B$1,Alkalis!$A$3:$A$12,0))</f>
        <v>0.12575220582095534</v>
      </c>
      <c r="R25" s="9">
        <f t="shared" si="19"/>
        <v>3.4743641280065192E-3</v>
      </c>
      <c r="S25" s="9">
        <f t="shared" si="20"/>
        <v>9.160648089555766E-3</v>
      </c>
      <c r="T25" s="23">
        <f t="shared" si="21"/>
        <v>9.5020705709342127E-3</v>
      </c>
      <c r="U25"/>
      <c r="V25"/>
    </row>
    <row r="26" spans="1:22" x14ac:dyDescent="0.35">
      <c r="B26" s="1">
        <f t="shared" si="22"/>
        <v>56</v>
      </c>
      <c r="C26" s="4">
        <f t="shared" si="23"/>
        <v>44643</v>
      </c>
      <c r="D26" s="16">
        <v>27</v>
      </c>
      <c r="E26" s="16">
        <f t="shared" ref="E26:E33" si="27">D26/0.0129</f>
        <v>2093.0232558139537</v>
      </c>
      <c r="F26" s="1">
        <v>22.261758909848989</v>
      </c>
      <c r="G26" s="1">
        <v>54.937577697176323</v>
      </c>
      <c r="H26" s="16">
        <f t="shared" si="24"/>
        <v>62.801119674902623</v>
      </c>
      <c r="I26" s="16">
        <f t="shared" si="17"/>
        <v>154.98062869071987</v>
      </c>
      <c r="J26" s="16">
        <f>100*((H26/1000)/INDEX(Alkalis!$K$3:$K$12,MATCH($B$1,Alkalis!$A$3:$A$12,0)))</f>
        <v>0.18214627034578926</v>
      </c>
      <c r="K26" s="16">
        <f>100*((I26/1000)/INDEX(Alkalis!$K$3:$K$12,MATCH($B$1,Alkalis!$A$3:$A$12,0)))</f>
        <v>0.44950064008399415</v>
      </c>
      <c r="L26" s="7">
        <f t="shared" si="25"/>
        <v>1.1894151453580039E-3</v>
      </c>
      <c r="M26" s="7">
        <f t="shared" si="26"/>
        <v>2.9352391797484822E-3</v>
      </c>
      <c r="N26" s="23">
        <f t="shared" si="18"/>
        <v>3.1208025256325052E-3</v>
      </c>
      <c r="O26" s="9">
        <f>100*L26/INDEX(Alkalis!G$3:G$12,MATCH($B$1,Alkalis!$A$3:$A$12,0))</f>
        <v>0.18214627034578926</v>
      </c>
      <c r="P26" s="9">
        <f>100*M26/INDEX(Alkalis!H$3:H$12,MATCH($B$1,Alkalis!$A$3:$A$12,0))</f>
        <v>0.18146764635230181</v>
      </c>
      <c r="Q26" s="23">
        <f>100*N26/INDEX(Alkalis!I$3:I$12,MATCH($B$1,Alkalis!$A$3:$A$12,0))</f>
        <v>0.18172568955797305</v>
      </c>
      <c r="R26" s="9">
        <f t="shared" si="19"/>
        <v>5.2334266395752168E-3</v>
      </c>
      <c r="S26" s="9">
        <f t="shared" si="20"/>
        <v>1.2915052390893323E-2</v>
      </c>
      <c r="T26" s="23">
        <f t="shared" si="21"/>
        <v>1.3731531112783022E-2</v>
      </c>
      <c r="U26"/>
      <c r="V26"/>
    </row>
    <row r="27" spans="1:22" x14ac:dyDescent="0.35">
      <c r="B27" s="1">
        <f t="shared" si="22"/>
        <v>83</v>
      </c>
      <c r="C27" s="4">
        <f t="shared" si="23"/>
        <v>44670</v>
      </c>
      <c r="D27" s="16">
        <v>24.1</v>
      </c>
      <c r="E27" s="16">
        <f t="shared" si="27"/>
        <v>1868.2170542635661</v>
      </c>
      <c r="F27" s="1">
        <v>31.686714422701822</v>
      </c>
      <c r="G27" s="1">
        <v>73.994493379525181</v>
      </c>
      <c r="H27" s="16">
        <f t="shared" si="24"/>
        <v>79.78815080957375</v>
      </c>
      <c r="I27" s="16">
        <f t="shared" si="17"/>
        <v>186.32047861086374</v>
      </c>
      <c r="J27" s="16">
        <f>100*((H27/1000)/INDEX(Alkalis!$K$3:$K$12,MATCH($B$1,Alkalis!$A$3:$A$12,0)))</f>
        <v>0.23141488818963096</v>
      </c>
      <c r="K27" s="16">
        <f>100*((I27/1000)/INDEX(Alkalis!$K$3:$K$12,MATCH($B$1,Alkalis!$A$3:$A$12,0)))</f>
        <v>0.54039769424005668</v>
      </c>
      <c r="L27" s="7">
        <f t="shared" si="25"/>
        <v>1.5111392198782904E-3</v>
      </c>
      <c r="M27" s="7">
        <f t="shared" si="26"/>
        <v>3.5287969433875702E-3</v>
      </c>
      <c r="N27" s="23">
        <f t="shared" si="18"/>
        <v>3.8330876086273115E-3</v>
      </c>
      <c r="O27" s="9">
        <f>100*L27/INDEX(Alkalis!G$3:G$12,MATCH($B$1,Alkalis!$A$3:$A$12,0))</f>
        <v>0.23141488818963096</v>
      </c>
      <c r="P27" s="9">
        <f>100*M27/INDEX(Alkalis!H$3:H$12,MATCH($B$1,Alkalis!$A$3:$A$12,0))</f>
        <v>0.21816364410433198</v>
      </c>
      <c r="Q27" s="23">
        <f>100*N27/INDEX(Alkalis!I$3:I$12,MATCH($B$1,Alkalis!$A$3:$A$12,0))</f>
        <v>0.22320235999961049</v>
      </c>
      <c r="R27" s="9">
        <f t="shared" si="19"/>
        <v>6.6490125674644775E-3</v>
      </c>
      <c r="S27" s="9">
        <f t="shared" si="20"/>
        <v>1.5526706550905309E-2</v>
      </c>
      <c r="T27" s="23">
        <f t="shared" si="21"/>
        <v>1.686558547796017E-2</v>
      </c>
      <c r="U27"/>
      <c r="V27"/>
    </row>
    <row r="28" spans="1:22" x14ac:dyDescent="0.35">
      <c r="B28" s="1">
        <f t="shared" si="22"/>
        <v>191</v>
      </c>
      <c r="C28" s="4">
        <f t="shared" si="23"/>
        <v>44778</v>
      </c>
      <c r="D28" s="16">
        <v>20.2</v>
      </c>
      <c r="E28" s="16">
        <f t="shared" si="27"/>
        <v>1565.8914728682171</v>
      </c>
      <c r="F28" s="1">
        <v>52.331025080571202</v>
      </c>
      <c r="G28" s="1">
        <v>113.85697406080271</v>
      </c>
      <c r="H28" s="16">
        <f t="shared" si="24"/>
        <v>110.44721235407377</v>
      </c>
      <c r="I28" s="16">
        <f t="shared" si="17"/>
        <v>240.30076561130656</v>
      </c>
      <c r="J28" s="16">
        <f>100*((H28/1000)/INDEX(Alkalis!$K$3:$K$12,MATCH($B$1,Alkalis!$A$3:$A$12,0)))</f>
        <v>0.32033740647499231</v>
      </c>
      <c r="K28" s="16">
        <f>100*((I28/1000)/INDEX(Alkalis!$K$3:$K$12,MATCH($B$1,Alkalis!$A$3:$A$12,0)))</f>
        <v>0.69696031605673847</v>
      </c>
      <c r="L28" s="7">
        <f t="shared" si="25"/>
        <v>2.0918032642817E-3</v>
      </c>
      <c r="M28" s="7">
        <f t="shared" si="26"/>
        <v>4.5511508638505019E-3</v>
      </c>
      <c r="N28" s="23">
        <f t="shared" si="18"/>
        <v>5.0864605326953298E-3</v>
      </c>
      <c r="O28" s="9">
        <f>100*L28/INDEX(Alkalis!G$3:G$12,MATCH($B$1,Alkalis!$A$3:$A$12,0))</f>
        <v>0.32033740647499231</v>
      </c>
      <c r="P28" s="9">
        <f>100*M28/INDEX(Alkalis!H$3:H$12,MATCH($B$1,Alkalis!$A$3:$A$12,0))</f>
        <v>0.2813694506244514</v>
      </c>
      <c r="Q28" s="23">
        <f>100*N28/INDEX(Alkalis!I$3:I$12,MATCH($B$1,Alkalis!$A$3:$A$12,0))</f>
        <v>0.29618681096335436</v>
      </c>
      <c r="R28" s="9">
        <f t="shared" si="19"/>
        <v>9.2039343628394794E-3</v>
      </c>
      <c r="S28" s="9">
        <f t="shared" si="20"/>
        <v>2.0025063800942208E-2</v>
      </c>
      <c r="T28" s="23">
        <f t="shared" si="21"/>
        <v>2.2380426343859453E-2</v>
      </c>
      <c r="U28"/>
      <c r="V28"/>
    </row>
    <row r="29" spans="1:22" x14ac:dyDescent="0.35">
      <c r="B29" s="1">
        <f t="shared" si="22"/>
        <v>365</v>
      </c>
      <c r="C29" s="4">
        <f t="shared" si="23"/>
        <v>44952</v>
      </c>
      <c r="D29" s="16">
        <v>21.7</v>
      </c>
      <c r="E29" s="16">
        <f t="shared" si="27"/>
        <v>1682.1705426356589</v>
      </c>
      <c r="F29" s="1">
        <v>363.70066817651173</v>
      </c>
      <c r="G29" s="1">
        <v>686.01850535615756</v>
      </c>
      <c r="H29" s="16">
        <f t="shared" si="24"/>
        <v>824.60882872375953</v>
      </c>
      <c r="I29" s="16">
        <f t="shared" si="17"/>
        <v>1555.3914679915306</v>
      </c>
      <c r="J29" s="16">
        <f>100*((H29/1000)/INDEX(Alkalis!$K$3:$K$12,MATCH($B$1,Alkalis!$A$3:$A$12,0)))</f>
        <v>2.3916679101227416</v>
      </c>
      <c r="K29" s="16">
        <f>100*((I29/1000)/INDEX(Alkalis!$K$3:$K$12,MATCH($B$1,Alkalis!$A$3:$A$12,0)))</f>
        <v>4.5112054735472942</v>
      </c>
      <c r="L29" s="7">
        <f t="shared" si="25"/>
        <v>1.5617591453101503E-2</v>
      </c>
      <c r="M29" s="7">
        <f t="shared" si="26"/>
        <v>2.9458171742263832E-2</v>
      </c>
      <c r="N29" s="23">
        <f t="shared" si="18"/>
        <v>3.5001068459511106E-2</v>
      </c>
      <c r="O29" s="9">
        <f>100*L29/INDEX(Alkalis!G$3:G$12,MATCH($B$1,Alkalis!$A$3:$A$12,0))</f>
        <v>2.3916679101227416</v>
      </c>
      <c r="P29" s="9">
        <f>100*M29/INDEX(Alkalis!H$3:H$12,MATCH($B$1,Alkalis!$A$3:$A$12,0))</f>
        <v>1.8212161819019368</v>
      </c>
      <c r="Q29" s="23">
        <f>100*N29/INDEX(Alkalis!I$3:I$12,MATCH($B$1,Alkalis!$A$3:$A$12,0))</f>
        <v>2.038127452419102</v>
      </c>
      <c r="R29" s="9">
        <f t="shared" si="19"/>
        <v>6.8717402393646612E-2</v>
      </c>
      <c r="S29" s="9">
        <f t="shared" si="20"/>
        <v>0.12961595566596087</v>
      </c>
      <c r="T29" s="23">
        <f t="shared" si="21"/>
        <v>0.15400470122184887</v>
      </c>
      <c r="U29"/>
      <c r="V29"/>
    </row>
    <row r="30" spans="1:22" x14ac:dyDescent="0.35">
      <c r="B30" s="1">
        <f t="shared" si="22"/>
        <v>456</v>
      </c>
      <c r="C30" s="4">
        <f t="shared" si="23"/>
        <v>45043</v>
      </c>
      <c r="D30" s="16">
        <v>20.2</v>
      </c>
      <c r="E30" s="16">
        <f t="shared" si="27"/>
        <v>1565.8914728682171</v>
      </c>
      <c r="F30" s="1">
        <f>50*10.1071697786192</f>
        <v>505.35848893095999</v>
      </c>
      <c r="G30" s="1">
        <f>50*20.6470350783777</f>
        <v>1032.3517539188852</v>
      </c>
      <c r="H30" s="16">
        <f t="shared" si="24"/>
        <v>1066.58404370936</v>
      </c>
      <c r="I30" s="16">
        <f t="shared" si="17"/>
        <v>2178.8293505359147</v>
      </c>
      <c r="J30" s="16">
        <f>100*((H30/1000)/INDEX(Alkalis!$K$3:$K$12,MATCH($B$1,Alkalis!$A$3:$A$12,0)))</f>
        <v>3.0934847432286876</v>
      </c>
      <c r="K30" s="16">
        <f>100*((I30/1000)/INDEX(Alkalis!$K$3:$K$12,MATCH($B$1,Alkalis!$A$3:$A$12,0)))</f>
        <v>6.3194038892057476</v>
      </c>
      <c r="L30" s="7">
        <f t="shared" si="25"/>
        <v>2.020045537328333E-2</v>
      </c>
      <c r="M30" s="7">
        <f t="shared" si="26"/>
        <v>4.1265707396513536E-2</v>
      </c>
      <c r="N30" s="23">
        <f t="shared" si="18"/>
        <v>4.7353290840189237E-2</v>
      </c>
      <c r="O30" s="9">
        <f>100*L30/INDEX(Alkalis!G$3:G$12,MATCH($B$1,Alkalis!$A$3:$A$12,0))</f>
        <v>3.0934847432286876</v>
      </c>
      <c r="P30" s="9">
        <f>100*M30/INDEX(Alkalis!H$3:H$12,MATCH($B$1,Alkalis!$A$3:$A$12,0))</f>
        <v>2.5512029302326757</v>
      </c>
      <c r="Q30" s="23">
        <f>100*N30/INDEX(Alkalis!I$3:I$12,MATCH($B$1,Alkalis!$A$3:$A$12,0))</f>
        <v>2.7574027385883912</v>
      </c>
      <c r="R30" s="9">
        <f t="shared" si="19"/>
        <v>8.8882003642446653E-2</v>
      </c>
      <c r="S30" s="9">
        <f t="shared" si="20"/>
        <v>0.18156911254465957</v>
      </c>
      <c r="T30" s="23">
        <f t="shared" si="21"/>
        <v>0.20835447969683266</v>
      </c>
      <c r="U30"/>
      <c r="V30"/>
    </row>
    <row r="31" spans="1:22" x14ac:dyDescent="0.35">
      <c r="B31" s="1">
        <f t="shared" si="22"/>
        <v>554</v>
      </c>
      <c r="C31" s="4">
        <f t="shared" si="23"/>
        <v>45141</v>
      </c>
      <c r="D31" s="16">
        <v>17.899999999999999</v>
      </c>
      <c r="E31" s="16">
        <f t="shared" si="27"/>
        <v>1387.5968992248061</v>
      </c>
      <c r="F31" s="1">
        <f>50*10.5495052989086</f>
        <v>527.4752649454299</v>
      </c>
      <c r="G31" s="1">
        <f>50*20.9378702408925</f>
        <v>1046.8935120446251</v>
      </c>
      <c r="H31" s="16">
        <f t="shared" si="24"/>
        <v>986.5049697277351</v>
      </c>
      <c r="I31" s="16">
        <f t="shared" si="17"/>
        <v>1957.941388047059</v>
      </c>
      <c r="J31" s="16">
        <f>100*((H31/1000)/INDEX(Alkalis!$K$3:$K$12,MATCH($B$1,Alkalis!$A$3:$A$12,0)))</f>
        <v>2.8612260711858286</v>
      </c>
      <c r="K31" s="16">
        <f>100*((I31/1000)/INDEX(Alkalis!$K$3:$K$12,MATCH($B$1,Alkalis!$A$3:$A$12,0)))</f>
        <v>5.6787478190608001</v>
      </c>
      <c r="L31" s="7">
        <f t="shared" si="25"/>
        <v>1.8683806244843466E-2</v>
      </c>
      <c r="M31" s="7">
        <f t="shared" si="26"/>
        <v>3.7082223258467023E-2</v>
      </c>
      <c r="N31" s="23">
        <f t="shared" ref="N31:N33" si="28">L31+0.658*M31</f>
        <v>4.3083909148914773E-2</v>
      </c>
      <c r="O31" s="9">
        <f>100*L31/INDEX(Alkalis!G$3:G$12,MATCH($B$1,Alkalis!$A$3:$A$12,0))</f>
        <v>2.8612260711858295</v>
      </c>
      <c r="P31" s="9">
        <f>100*M31/INDEX(Alkalis!H$3:H$12,MATCH($B$1,Alkalis!$A$3:$A$12,0))</f>
        <v>2.2925640345265546</v>
      </c>
      <c r="Q31" s="23">
        <f>100*N31/INDEX(Alkalis!I$3:I$12,MATCH($B$1,Alkalis!$A$3:$A$12,0))</f>
        <v>2.5087947842367164</v>
      </c>
      <c r="R31" s="9">
        <f t="shared" ref="R31:R33" si="29">440*L31/100</f>
        <v>8.2208747477311259E-2</v>
      </c>
      <c r="S31" s="9">
        <f t="shared" ref="S31:S33" si="30">440*M31/100</f>
        <v>0.16316178233725492</v>
      </c>
      <c r="T31" s="23">
        <f t="shared" ref="T31:T33" si="31">440*N31/100</f>
        <v>0.189569200255225</v>
      </c>
      <c r="U31"/>
      <c r="V31"/>
    </row>
    <row r="32" spans="1:22" x14ac:dyDescent="0.35">
      <c r="B32" s="1">
        <f t="shared" si="22"/>
        <v>722</v>
      </c>
      <c r="C32" s="4">
        <f t="shared" si="23"/>
        <v>45309</v>
      </c>
      <c r="D32" s="16">
        <v>25.2</v>
      </c>
      <c r="E32" s="16">
        <f t="shared" si="27"/>
        <v>1953.4883720930231</v>
      </c>
      <c r="F32" s="1">
        <f>50*11.1691673832984</f>
        <v>558.45836916491999</v>
      </c>
      <c r="G32" s="1">
        <f>50*21.5464860094566</f>
        <v>1077.3243004728301</v>
      </c>
      <c r="H32" s="16">
        <f t="shared" si="24"/>
        <v>1470.3999932309925</v>
      </c>
      <c r="I32" s="16">
        <f t="shared" si="17"/>
        <v>2836.5545787980282</v>
      </c>
      <c r="J32" s="16">
        <f>100*((H32/1000)/INDEX(Alkalis!$K$3:$K$12,MATCH($B$1,Alkalis!$A$3:$A$12,0)))</f>
        <v>4.2646990383283221</v>
      </c>
      <c r="K32" s="16">
        <f>100*((I32/1000)/INDEX(Alkalis!$K$3:$K$12,MATCH($B$1,Alkalis!$A$3:$A$12,0)))</f>
        <v>8.227048177403903</v>
      </c>
      <c r="L32" s="7">
        <f t="shared" si="25"/>
        <v>2.7848484720283947E-2</v>
      </c>
      <c r="M32" s="7">
        <f t="shared" si="26"/>
        <v>5.3722624598447496E-2</v>
      </c>
      <c r="N32" s="23">
        <f t="shared" si="28"/>
        <v>6.3197971706062395E-2</v>
      </c>
      <c r="O32" s="9">
        <f>100*L32/INDEX(Alkalis!G$3:G$12,MATCH($B$1,Alkalis!$A$3:$A$12,0))</f>
        <v>4.264699038328323</v>
      </c>
      <c r="P32" s="9">
        <f>100*M32/INDEX(Alkalis!H$3:H$12,MATCH($B$1,Alkalis!$A$3:$A$12,0))</f>
        <v>3.3213369148962903</v>
      </c>
      <c r="Q32" s="23">
        <f>100*N32/INDEX(Alkalis!I$3:I$12,MATCH($B$1,Alkalis!$A$3:$A$12,0))</f>
        <v>3.6800454026234202</v>
      </c>
      <c r="R32" s="9">
        <f t="shared" si="29"/>
        <v>0.12253333276924935</v>
      </c>
      <c r="S32" s="9">
        <f t="shared" si="30"/>
        <v>0.23637954823316901</v>
      </c>
      <c r="T32" s="23">
        <f t="shared" si="31"/>
        <v>0.27807107550667454</v>
      </c>
      <c r="U32"/>
      <c r="V32"/>
    </row>
    <row r="33" spans="2:22" x14ac:dyDescent="0.35">
      <c r="B33" s="1" t="e">
        <f t="shared" si="22"/>
        <v>#N/A</v>
      </c>
      <c r="C33" s="4">
        <f t="shared" si="23"/>
        <v>0</v>
      </c>
      <c r="D33" s="16"/>
      <c r="E33" s="16">
        <f t="shared" si="27"/>
        <v>0</v>
      </c>
      <c r="F33" s="1"/>
      <c r="G33" s="1"/>
      <c r="H33" s="16" t="e">
        <f t="shared" si="24"/>
        <v>#N/A</v>
      </c>
      <c r="I33" s="16" t="e">
        <f t="shared" si="17"/>
        <v>#N/A</v>
      </c>
      <c r="J33" s="16" t="e">
        <f>100*((H33/1000)/INDEX(Alkalis!$K$3:$K$12,MATCH($B$1,Alkalis!$A$3:$A$12,0)))</f>
        <v>#N/A</v>
      </c>
      <c r="K33" s="16" t="e">
        <f>100*((I33/1000)/INDEX(Alkalis!$K$3:$K$12,MATCH($B$1,Alkalis!$A$3:$A$12,0)))</f>
        <v>#N/A</v>
      </c>
      <c r="L33" s="7" t="e">
        <f t="shared" si="25"/>
        <v>#N/A</v>
      </c>
      <c r="M33" s="7" t="e">
        <f t="shared" si="26"/>
        <v>#N/A</v>
      </c>
      <c r="N33" s="23" t="e">
        <f t="shared" si="28"/>
        <v>#N/A</v>
      </c>
      <c r="O33" s="9" t="e">
        <f>100*L33/INDEX(Alkalis!G$3:G$12,MATCH($B$1,Alkalis!$A$3:$A$12,0))</f>
        <v>#N/A</v>
      </c>
      <c r="P33" s="9" t="e">
        <f>100*M33/INDEX(Alkalis!H$3:H$12,MATCH($B$1,Alkalis!$A$3:$A$12,0))</f>
        <v>#N/A</v>
      </c>
      <c r="Q33" s="23" t="e">
        <f>100*N33/INDEX(Alkalis!I$3:I$12,MATCH($B$1,Alkalis!$A$3:$A$12,0))</f>
        <v>#N/A</v>
      </c>
      <c r="R33" s="9" t="e">
        <f t="shared" si="29"/>
        <v>#N/A</v>
      </c>
      <c r="S33" s="9" t="e">
        <f t="shared" si="30"/>
        <v>#N/A</v>
      </c>
      <c r="T33" s="23" t="e">
        <f t="shared" si="31"/>
        <v>#N/A</v>
      </c>
      <c r="U33"/>
      <c r="V33"/>
    </row>
    <row r="34" spans="2:22" x14ac:dyDescent="0.35">
      <c r="U34"/>
      <c r="V34"/>
    </row>
    <row r="35" spans="2:22" x14ac:dyDescent="0.35">
      <c r="U35"/>
      <c r="V35"/>
    </row>
    <row r="36" spans="2:22" x14ac:dyDescent="0.35">
      <c r="U36"/>
      <c r="V36"/>
    </row>
    <row r="37" spans="2:22" x14ac:dyDescent="0.35">
      <c r="D37" s="22"/>
    </row>
  </sheetData>
  <mergeCells count="20">
    <mergeCell ref="A7:A17"/>
    <mergeCell ref="R3:R4"/>
    <mergeCell ref="B6:C6"/>
    <mergeCell ref="L5:M5"/>
    <mergeCell ref="P3:P4"/>
    <mergeCell ref="Q3:Q4"/>
    <mergeCell ref="D3:G3"/>
    <mergeCell ref="L3:O3"/>
    <mergeCell ref="H3:K3"/>
    <mergeCell ref="B1:C1"/>
    <mergeCell ref="B3:C4"/>
    <mergeCell ref="B5:C5"/>
    <mergeCell ref="D5:E5"/>
    <mergeCell ref="H5:I5"/>
    <mergeCell ref="C22:C23"/>
    <mergeCell ref="H22:I22"/>
    <mergeCell ref="F22:G22"/>
    <mergeCell ref="J22:T22"/>
    <mergeCell ref="T3:T4"/>
    <mergeCell ref="S3:S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E4D8A-1663-4BB8-A75D-F51955FFB9A4}">
  <sheetPr>
    <tabColor rgb="FFFF0000"/>
  </sheetPr>
  <dimension ref="A1:V36"/>
  <sheetViews>
    <sheetView zoomScale="55" zoomScaleNormal="55" workbookViewId="0">
      <selection activeCell="P38" sqref="P38"/>
    </sheetView>
  </sheetViews>
  <sheetFormatPr defaultColWidth="8.81640625" defaultRowHeight="14.5" x14ac:dyDescent="0.35"/>
  <cols>
    <col min="1" max="1" width="3.54296875" style="17" bestFit="1" customWidth="1"/>
    <col min="2" max="2" width="15.26953125" style="17" bestFit="1" customWidth="1"/>
    <col min="3" max="3" width="15.26953125" style="17" customWidth="1"/>
    <col min="4" max="4" width="13.7265625" style="17" bestFit="1" customWidth="1"/>
    <col min="5" max="5" width="13.81640625" style="17" bestFit="1" customWidth="1"/>
    <col min="6" max="7" width="13.81640625" style="17" customWidth="1"/>
    <col min="8" max="8" width="13.7265625" style="17" bestFit="1" customWidth="1"/>
    <col min="9" max="9" width="13.81640625" style="17" bestFit="1" customWidth="1"/>
    <col min="10" max="11" width="13.81640625" style="17" customWidth="1"/>
    <col min="12" max="12" width="14.7265625" style="17" customWidth="1"/>
    <col min="13" max="13" width="13.81640625" style="17" bestFit="1" customWidth="1"/>
    <col min="14" max="15" width="13.81640625" style="17" customWidth="1"/>
    <col min="16" max="16" width="17.26953125" style="17" bestFit="1" customWidth="1"/>
    <col min="17" max="17" width="16.26953125" style="17" bestFit="1" customWidth="1"/>
    <col min="18" max="18" width="18.26953125" style="17" customWidth="1"/>
    <col min="19" max="19" width="16.453125" style="17" bestFit="1" customWidth="1"/>
    <col min="20" max="20" width="15.1796875" style="17" bestFit="1" customWidth="1"/>
    <col min="21" max="21" width="16.26953125" style="17" bestFit="1" customWidth="1"/>
    <col min="22" max="22" width="18.7265625" style="17" bestFit="1" customWidth="1"/>
    <col min="23" max="16384" width="8.81640625" style="17"/>
  </cols>
  <sheetData>
    <row r="1" spans="1:20" x14ac:dyDescent="0.35">
      <c r="B1" s="41" t="s">
        <v>85</v>
      </c>
      <c r="C1" s="41"/>
    </row>
    <row r="3" spans="1:20" ht="14.5" customHeight="1" x14ac:dyDescent="0.35">
      <c r="B3" s="42" t="s">
        <v>3</v>
      </c>
      <c r="C3" s="43"/>
      <c r="D3" s="46" t="s">
        <v>40</v>
      </c>
      <c r="E3" s="53"/>
      <c r="F3" s="53"/>
      <c r="G3" s="47"/>
      <c r="H3" s="46" t="s">
        <v>41</v>
      </c>
      <c r="I3" s="53"/>
      <c r="J3" s="53"/>
      <c r="K3" s="47"/>
      <c r="L3" s="46" t="s">
        <v>42</v>
      </c>
      <c r="M3" s="53"/>
      <c r="N3" s="53"/>
      <c r="O3" s="47"/>
      <c r="P3" s="51" t="s">
        <v>103</v>
      </c>
      <c r="Q3" s="39" t="s">
        <v>82</v>
      </c>
      <c r="R3" s="51" t="s">
        <v>38</v>
      </c>
      <c r="S3" s="51" t="s">
        <v>81</v>
      </c>
      <c r="T3" s="39" t="s">
        <v>82</v>
      </c>
    </row>
    <row r="4" spans="1:20" ht="14.5" customHeight="1" x14ac:dyDescent="0.35">
      <c r="B4" s="44"/>
      <c r="C4" s="45"/>
      <c r="D4" s="1" t="s">
        <v>80</v>
      </c>
      <c r="E4" s="1" t="s">
        <v>102</v>
      </c>
      <c r="F4" s="15" t="s">
        <v>15</v>
      </c>
      <c r="G4" s="15" t="s">
        <v>83</v>
      </c>
      <c r="H4" s="1" t="s">
        <v>80</v>
      </c>
      <c r="I4" s="1" t="s">
        <v>102</v>
      </c>
      <c r="J4" s="15" t="s">
        <v>15</v>
      </c>
      <c r="K4" s="15" t="s">
        <v>83</v>
      </c>
      <c r="L4" s="1" t="s">
        <v>80</v>
      </c>
      <c r="M4" s="1" t="s">
        <v>102</v>
      </c>
      <c r="N4" s="15" t="s">
        <v>15</v>
      </c>
      <c r="O4" s="15" t="s">
        <v>83</v>
      </c>
      <c r="P4" s="51"/>
      <c r="Q4" s="39"/>
      <c r="R4" s="51"/>
      <c r="S4" s="51"/>
      <c r="T4" s="39"/>
    </row>
    <row r="5" spans="1:20" ht="16.5" x14ac:dyDescent="0.35">
      <c r="A5" s="20"/>
      <c r="B5" s="46" t="s">
        <v>1</v>
      </c>
      <c r="C5" s="47"/>
      <c r="D5" s="39">
        <v>400</v>
      </c>
      <c r="E5" s="39"/>
      <c r="F5" s="1"/>
      <c r="G5" s="1"/>
      <c r="H5" s="39">
        <v>400</v>
      </c>
      <c r="I5" s="39"/>
      <c r="J5" s="1"/>
      <c r="K5" s="1"/>
      <c r="L5" s="39">
        <v>400</v>
      </c>
      <c r="M5" s="39"/>
      <c r="N5" s="1"/>
      <c r="O5" s="1"/>
      <c r="P5" s="2"/>
      <c r="Q5" s="2"/>
      <c r="R5" s="2"/>
      <c r="S5" s="2"/>
      <c r="T5" s="2"/>
    </row>
    <row r="6" spans="1:20" x14ac:dyDescent="0.35">
      <c r="A6" s="20"/>
      <c r="B6" s="46" t="s">
        <v>2</v>
      </c>
      <c r="C6" s="47"/>
      <c r="D6" s="7">
        <v>-3.6339999999999999</v>
      </c>
      <c r="E6" s="5">
        <f>100*(D7-$D$6)/$D$5</f>
        <v>3.5625000000000018E-2</v>
      </c>
      <c r="F6" s="16">
        <v>9416.9</v>
      </c>
      <c r="G6" s="16"/>
      <c r="H6" s="7">
        <v>-3.6629999999999998</v>
      </c>
      <c r="I6" s="5">
        <f>100*(H7-$H$6)/$H$5</f>
        <v>1.112499999999994E-2</v>
      </c>
      <c r="J6" s="16">
        <v>9448.6</v>
      </c>
      <c r="K6" s="16"/>
      <c r="L6" s="7">
        <v>-3.5074999999999998</v>
      </c>
      <c r="M6" s="5">
        <f>100*(L7-$L$6)/$L$5</f>
        <v>4.074999999999996E-2</v>
      </c>
      <c r="N6" s="16">
        <v>9449.9</v>
      </c>
      <c r="O6" s="16"/>
      <c r="P6" s="6">
        <f>IF(ISBLANK(D6),NA(),AVERAGE(E6,I6,M6))</f>
        <v>2.9166666666666636E-2</v>
      </c>
      <c r="Q6" s="6">
        <f>IF(ISBLANK(D6),NA(),_xlfn.STDEV.P(E6,I6,M6))</f>
        <v>1.2927817767211244E-2</v>
      </c>
      <c r="R6" s="24"/>
      <c r="S6" s="2"/>
      <c r="T6" s="2"/>
    </row>
    <row r="7" spans="1:20" ht="15" customHeight="1" x14ac:dyDescent="0.35">
      <c r="A7" s="52" t="s">
        <v>0</v>
      </c>
      <c r="B7" s="1">
        <v>1</v>
      </c>
      <c r="C7" s="4">
        <v>44589</v>
      </c>
      <c r="D7" s="7">
        <v>-3.4914999999999998</v>
      </c>
      <c r="E7" s="3">
        <f>IF(ISBLANK(D7),NA(),100*(D7-$D$7)/$D$5)</f>
        <v>0</v>
      </c>
      <c r="F7" s="16">
        <v>9413.4</v>
      </c>
      <c r="G7" s="3">
        <f>IF(ISBLANK(F7),NA(),100*(F7-$F$7)/$F$7)</f>
        <v>0</v>
      </c>
      <c r="H7" s="7">
        <v>-3.6185</v>
      </c>
      <c r="I7" s="3">
        <f>IF(ISBLANK(H7),NA(),100*(H7-$H$7)/$H$5)</f>
        <v>0</v>
      </c>
      <c r="J7" s="16">
        <v>9445.4</v>
      </c>
      <c r="K7" s="3">
        <f>IF(ISBLANK(J7),NA(),100*(J7-$J$7)/$J$7)</f>
        <v>0</v>
      </c>
      <c r="L7" s="7">
        <v>-3.3445</v>
      </c>
      <c r="M7" s="3">
        <f>100*(L7-$L$7)/$L$5</f>
        <v>0</v>
      </c>
      <c r="N7" s="16">
        <v>9447</v>
      </c>
      <c r="O7" s="3">
        <f>IF(ISBLANK(N7),NA(),100*(N7-$N$7)/$N$7)</f>
        <v>0</v>
      </c>
      <c r="P7" s="23">
        <f t="shared" ref="P7:P13" si="0">IF(ISBLANK(D7),NA(),AVERAGE(E7,I7,M7))</f>
        <v>0</v>
      </c>
      <c r="Q7" s="8">
        <f t="shared" ref="Q7:Q13" si="1">IF(ISBLANK(D7),NA(),_xlfn.STDEV.P(E7,I7,M7))</f>
        <v>0</v>
      </c>
      <c r="R7" s="8"/>
      <c r="S7" s="23">
        <f>AVERAGE(G7,K7,O7)</f>
        <v>0</v>
      </c>
      <c r="T7" s="9">
        <f>_xlfn.STDEV.P(G7,K7,O7)</f>
        <v>0</v>
      </c>
    </row>
    <row r="8" spans="1:20" x14ac:dyDescent="0.35">
      <c r="A8" s="52"/>
      <c r="B8" s="1">
        <f>IF(ISBLANK(C8),NA(),C8-C$7+1)</f>
        <v>7</v>
      </c>
      <c r="C8" s="4">
        <v>44595</v>
      </c>
      <c r="D8" s="7">
        <v>-3.6120000000000001</v>
      </c>
      <c r="E8" s="3">
        <f t="shared" ref="E8:E17" si="2">IF(ISBLANK(D8),NA(),100*(D8-$D$7)/$D$5)</f>
        <v>-3.0125000000000068E-2</v>
      </c>
      <c r="F8" s="16">
        <v>9409</v>
      </c>
      <c r="G8" s="3">
        <f t="shared" ref="G8:G17" si="3">IF(ISBLANK(F8),NA(),100*(F8-$F$7)/$F$7)</f>
        <v>-4.674187859858963E-2</v>
      </c>
      <c r="H8" s="7">
        <v>-3.637</v>
      </c>
      <c r="I8" s="3">
        <f t="shared" ref="I8:I17" si="4">IF(ISBLANK(H8),NA(),100*(H8-$H$7)/$H$5)</f>
        <v>-4.6249999999999902E-3</v>
      </c>
      <c r="J8" s="16">
        <v>9443</v>
      </c>
      <c r="K8" s="3">
        <f t="shared" ref="K8:K17" si="5">IF(ISBLANK(J8),NA(),100*(J8-$J$7)/$J$7)</f>
        <v>-2.5409193893319883E-2</v>
      </c>
      <c r="L8" s="7">
        <v>-3.488</v>
      </c>
      <c r="M8" s="3">
        <f t="shared" ref="M8:M17" si="6">100*(L8-$L$7)/$L$5</f>
        <v>-3.587499999999999E-2</v>
      </c>
      <c r="N8" s="16">
        <v>9447.7999999999993</v>
      </c>
      <c r="O8" s="3">
        <f t="shared" ref="O8:O17" si="7">IF(ISBLANK(N8),NA(),100*(N8-$N$7)/$N$7)</f>
        <v>8.4682968137956213E-3</v>
      </c>
      <c r="P8" s="23">
        <f t="shared" si="0"/>
        <v>-2.3541666666666683E-2</v>
      </c>
      <c r="Q8" s="8">
        <f t="shared" si="1"/>
        <v>1.3580521181293298E-2</v>
      </c>
      <c r="R8" s="8"/>
      <c r="S8" s="23">
        <f t="shared" ref="S8:S14" si="8">AVERAGE(G8,K8,O8)</f>
        <v>-2.1227591892704633E-2</v>
      </c>
      <c r="T8" s="9">
        <f t="shared" ref="T8:T14" si="9">_xlfn.STDEV.P(G8,K8,O8)</f>
        <v>2.2732578879004605E-2</v>
      </c>
    </row>
    <row r="9" spans="1:20" x14ac:dyDescent="0.35">
      <c r="A9" s="52"/>
      <c r="B9" s="1">
        <f t="shared" ref="B9:B17" si="10">IF(ISBLANK(C9),NA(),C9-C$7+1)</f>
        <v>27</v>
      </c>
      <c r="C9" s="4">
        <v>44615</v>
      </c>
      <c r="D9" s="7">
        <v>-3.5630000000000002</v>
      </c>
      <c r="E9" s="3">
        <f t="shared" si="2"/>
        <v>-1.7875000000000085E-2</v>
      </c>
      <c r="F9" s="16">
        <v>9411.1</v>
      </c>
      <c r="G9" s="3">
        <f t="shared" si="3"/>
        <v>-2.4433254721984324E-2</v>
      </c>
      <c r="H9" s="7">
        <v>-3.6320000000000001</v>
      </c>
      <c r="I9" s="3">
        <f t="shared" si="4"/>
        <v>-3.3750000000000169E-3</v>
      </c>
      <c r="J9" s="16">
        <v>9445.1</v>
      </c>
      <c r="K9" s="3">
        <f t="shared" si="5"/>
        <v>-3.1761492366577638E-3</v>
      </c>
      <c r="L9" s="7">
        <v>-3.4830000000000001</v>
      </c>
      <c r="M9" s="3">
        <f t="shared" si="6"/>
        <v>-3.4625000000000017E-2</v>
      </c>
      <c r="N9" s="16">
        <v>9450.7000000000007</v>
      </c>
      <c r="O9" s="3">
        <f t="shared" si="7"/>
        <v>3.9165872763848072E-2</v>
      </c>
      <c r="P9" s="23">
        <f t="shared" si="0"/>
        <v>-1.8625000000000041E-2</v>
      </c>
      <c r="Q9" s="8">
        <f t="shared" si="1"/>
        <v>1.2768777023139943E-2</v>
      </c>
      <c r="R9" s="8" t="s">
        <v>48</v>
      </c>
      <c r="S9" s="23">
        <f t="shared" si="8"/>
        <v>3.8521562684019953E-3</v>
      </c>
      <c r="T9" s="9">
        <f t="shared" si="9"/>
        <v>2.6435582875411572E-2</v>
      </c>
    </row>
    <row r="10" spans="1:20" x14ac:dyDescent="0.35">
      <c r="A10" s="52"/>
      <c r="B10" s="1">
        <f t="shared" si="10"/>
        <v>55</v>
      </c>
      <c r="C10" s="4">
        <v>44643</v>
      </c>
      <c r="D10" s="7">
        <v>-3.6059999999999999</v>
      </c>
      <c r="E10" s="3">
        <f t="shared" si="2"/>
        <v>-2.8625000000000012E-2</v>
      </c>
      <c r="F10" s="16">
        <v>9413.2000000000007</v>
      </c>
      <c r="G10" s="3">
        <f t="shared" si="3"/>
        <v>-2.1246308453790196E-3</v>
      </c>
      <c r="H10" s="7">
        <v>-3.6379999999999999</v>
      </c>
      <c r="I10" s="3">
        <f t="shared" si="4"/>
        <v>-4.8749999999999627E-3</v>
      </c>
      <c r="J10" s="16">
        <v>9447.9</v>
      </c>
      <c r="K10" s="3">
        <f t="shared" si="5"/>
        <v>2.6467910305545558E-2</v>
      </c>
      <c r="L10" s="7">
        <v>-3.4769999999999999</v>
      </c>
      <c r="M10" s="3">
        <f t="shared" si="6"/>
        <v>-3.312499999999996E-2</v>
      </c>
      <c r="N10" s="16">
        <v>9453.1</v>
      </c>
      <c r="O10" s="3">
        <f t="shared" si="7"/>
        <v>6.4570763205254192E-2</v>
      </c>
      <c r="P10" s="23">
        <f t="shared" si="0"/>
        <v>-2.2208333333333313E-2</v>
      </c>
      <c r="Q10" s="8">
        <f t="shared" si="1"/>
        <v>1.2393434641866737E-2</v>
      </c>
      <c r="R10" s="8"/>
      <c r="S10" s="23">
        <f t="shared" si="8"/>
        <v>2.963801422180691E-2</v>
      </c>
      <c r="T10" s="9">
        <f t="shared" si="9"/>
        <v>2.7320396117458127E-2</v>
      </c>
    </row>
    <row r="11" spans="1:20" x14ac:dyDescent="0.35">
      <c r="A11" s="52"/>
      <c r="B11" s="1">
        <f t="shared" si="10"/>
        <v>82</v>
      </c>
      <c r="C11" s="4">
        <v>44670</v>
      </c>
      <c r="D11" s="7">
        <v>-3.617</v>
      </c>
      <c r="E11" s="3">
        <f t="shared" si="2"/>
        <v>-3.1375000000000042E-2</v>
      </c>
      <c r="F11" s="16">
        <v>9415.2999999999993</v>
      </c>
      <c r="G11" s="3">
        <f t="shared" si="3"/>
        <v>2.0183993031206965E-2</v>
      </c>
      <c r="H11" s="7">
        <v>-3.6379999999999999</v>
      </c>
      <c r="I11" s="3">
        <f t="shared" si="4"/>
        <v>-4.8749999999999627E-3</v>
      </c>
      <c r="J11" s="16">
        <v>9449.4</v>
      </c>
      <c r="K11" s="3">
        <f t="shared" si="5"/>
        <v>4.2348656488872892E-2</v>
      </c>
      <c r="L11" s="7">
        <v>-3.488</v>
      </c>
      <c r="M11" s="3">
        <f t="shared" si="6"/>
        <v>-3.587499999999999E-2</v>
      </c>
      <c r="N11" s="16">
        <v>9455</v>
      </c>
      <c r="O11" s="3">
        <f t="shared" si="7"/>
        <v>8.4682968138033235E-2</v>
      </c>
      <c r="P11" s="23">
        <f t="shared" si="0"/>
        <v>-2.4041666666666666E-2</v>
      </c>
      <c r="Q11" s="8">
        <f t="shared" si="1"/>
        <v>1.3676825492619116E-2</v>
      </c>
      <c r="R11" s="8"/>
      <c r="S11" s="23">
        <f t="shared" si="8"/>
        <v>4.9071872552704364E-2</v>
      </c>
      <c r="T11" s="9">
        <f t="shared" si="9"/>
        <v>2.6757312684429154E-2</v>
      </c>
    </row>
    <row r="12" spans="1:20" x14ac:dyDescent="0.35">
      <c r="A12" s="52"/>
      <c r="B12" s="1">
        <f t="shared" si="10"/>
        <v>190</v>
      </c>
      <c r="C12" s="4">
        <v>44778</v>
      </c>
      <c r="D12" s="7">
        <v>-3.6120000000000001</v>
      </c>
      <c r="E12" s="3">
        <f t="shared" si="2"/>
        <v>-3.0125000000000068E-2</v>
      </c>
      <c r="F12" s="16">
        <v>9420</v>
      </c>
      <c r="G12" s="3">
        <f t="shared" si="3"/>
        <v>7.0112817897894114E-2</v>
      </c>
      <c r="H12" s="7">
        <v>-3.6360000000000001</v>
      </c>
      <c r="I12" s="3">
        <f t="shared" si="4"/>
        <v>-4.3750000000000178E-3</v>
      </c>
      <c r="J12" s="16">
        <v>9455</v>
      </c>
      <c r="K12" s="3">
        <f t="shared" si="5"/>
        <v>0.1016367755732988</v>
      </c>
      <c r="L12" s="7">
        <v>-3.4809999999999999</v>
      </c>
      <c r="M12" s="3">
        <f t="shared" si="6"/>
        <v>-3.4124999999999961E-2</v>
      </c>
      <c r="N12" s="16">
        <v>9460</v>
      </c>
      <c r="O12" s="3">
        <f t="shared" si="7"/>
        <v>0.13760982322430401</v>
      </c>
      <c r="P12" s="23">
        <f t="shared" si="0"/>
        <v>-2.2875000000000017E-2</v>
      </c>
      <c r="Q12" s="8">
        <f t="shared" si="1"/>
        <v>1.3183006738474589E-2</v>
      </c>
      <c r="R12" s="8"/>
      <c r="S12" s="23">
        <f t="shared" si="8"/>
        <v>0.10311980556516565</v>
      </c>
      <c r="T12" s="9">
        <f t="shared" si="9"/>
        <v>2.757548386370199E-2</v>
      </c>
    </row>
    <row r="13" spans="1:20" x14ac:dyDescent="0.35">
      <c r="A13" s="52"/>
      <c r="B13" s="1">
        <f t="shared" si="10"/>
        <v>364</v>
      </c>
      <c r="C13" s="4">
        <v>44952</v>
      </c>
      <c r="D13" s="7">
        <v>-3.605</v>
      </c>
      <c r="E13" s="3">
        <f t="shared" si="2"/>
        <v>-2.8375000000000039E-2</v>
      </c>
      <c r="F13" s="16">
        <v>9435</v>
      </c>
      <c r="G13" s="3">
        <f t="shared" si="3"/>
        <v>0.22946013130219012</v>
      </c>
      <c r="H13" s="7">
        <v>-3.63</v>
      </c>
      <c r="I13" s="3">
        <f t="shared" si="4"/>
        <v>-2.8749999999999609E-3</v>
      </c>
      <c r="J13" s="16">
        <v>9465</v>
      </c>
      <c r="K13" s="3">
        <f t="shared" si="5"/>
        <v>0.20750841679548102</v>
      </c>
      <c r="L13" s="7">
        <v>-3.4780000000000002</v>
      </c>
      <c r="M13" s="3">
        <f t="shared" si="6"/>
        <v>-3.3375000000000044E-2</v>
      </c>
      <c r="N13" s="16">
        <v>9485</v>
      </c>
      <c r="O13" s="3">
        <f t="shared" si="7"/>
        <v>0.40224409865565786</v>
      </c>
      <c r="P13" s="23">
        <f t="shared" si="0"/>
        <v>-2.1541666666666681E-2</v>
      </c>
      <c r="Q13" s="8">
        <f t="shared" si="1"/>
        <v>1.3356230339766153E-2</v>
      </c>
      <c r="R13" s="8"/>
      <c r="S13" s="23">
        <f t="shared" si="8"/>
        <v>0.2797375489177763</v>
      </c>
      <c r="T13" s="9">
        <f t="shared" si="9"/>
        <v>8.7087544034555917E-2</v>
      </c>
    </row>
    <row r="14" spans="1:20" x14ac:dyDescent="0.35">
      <c r="A14" s="52"/>
      <c r="B14" s="1">
        <f t="shared" si="10"/>
        <v>455</v>
      </c>
      <c r="C14" s="4">
        <v>45043</v>
      </c>
      <c r="D14" s="7">
        <v>-3.6</v>
      </c>
      <c r="E14" s="3">
        <f t="shared" si="2"/>
        <v>-2.7125000000000066E-2</v>
      </c>
      <c r="F14" s="16">
        <v>9455</v>
      </c>
      <c r="G14" s="3">
        <f t="shared" si="3"/>
        <v>0.44192321584125144</v>
      </c>
      <c r="H14" s="7">
        <v>-3.6190000000000002</v>
      </c>
      <c r="I14" s="3">
        <f t="shared" si="4"/>
        <v>-1.2500000000004174E-4</v>
      </c>
      <c r="J14" s="16">
        <v>9475</v>
      </c>
      <c r="K14" s="3">
        <f t="shared" si="5"/>
        <v>0.31338005801766328</v>
      </c>
      <c r="L14" s="7">
        <v>-3.4729999999999999</v>
      </c>
      <c r="M14" s="3">
        <f t="shared" si="6"/>
        <v>-3.2124999999999959E-2</v>
      </c>
      <c r="N14" s="16">
        <v>9480</v>
      </c>
      <c r="O14" s="3">
        <f t="shared" si="7"/>
        <v>0.34931724356938709</v>
      </c>
      <c r="P14" s="23">
        <f t="shared" ref="P14" si="11">IF(ISBLANK(D14),NA(),AVERAGE(E14,I14,M14))</f>
        <v>-1.979166666666669E-2</v>
      </c>
      <c r="Q14" s="8">
        <f t="shared" ref="Q14" si="12">IF(ISBLANK(D14),NA(),_xlfn.STDEV.P(E14,I14,M14))</f>
        <v>1.4055445761538657E-2</v>
      </c>
      <c r="R14" s="8"/>
      <c r="S14" s="23">
        <f t="shared" si="8"/>
        <v>0.36820683914276725</v>
      </c>
      <c r="T14" s="9">
        <f t="shared" si="9"/>
        <v>5.415070619120569E-2</v>
      </c>
    </row>
    <row r="15" spans="1:20" x14ac:dyDescent="0.35">
      <c r="A15" s="52"/>
      <c r="B15" s="1">
        <f t="shared" si="10"/>
        <v>553</v>
      </c>
      <c r="C15" s="4">
        <v>45141</v>
      </c>
      <c r="D15" s="7">
        <v>-3.6040000000000001</v>
      </c>
      <c r="E15" s="3">
        <f t="shared" si="2"/>
        <v>-2.8125000000000067E-2</v>
      </c>
      <c r="F15" s="16">
        <v>9460</v>
      </c>
      <c r="G15" s="3">
        <f t="shared" si="3"/>
        <v>0.49503898697601678</v>
      </c>
      <c r="H15" s="7">
        <v>-3.6160000000000001</v>
      </c>
      <c r="I15" s="3">
        <f t="shared" si="4"/>
        <v>6.2499999999998668E-4</v>
      </c>
      <c r="J15" s="16">
        <v>9480</v>
      </c>
      <c r="K15" s="3">
        <f t="shared" si="5"/>
        <v>0.36631587862875437</v>
      </c>
      <c r="L15" s="7">
        <v>-3.47</v>
      </c>
      <c r="M15" s="3">
        <f t="shared" si="6"/>
        <v>-3.1375000000000042E-2</v>
      </c>
      <c r="N15" s="16">
        <v>9490</v>
      </c>
      <c r="O15" s="3">
        <f t="shared" si="7"/>
        <v>0.45517095374192867</v>
      </c>
      <c r="P15" s="23">
        <f t="shared" ref="P15:P17" si="13">IF(ISBLANK(D15),NA(),AVERAGE(E15,I15,M15))</f>
        <v>-1.9625000000000042E-2</v>
      </c>
      <c r="Q15" s="8">
        <f t="shared" ref="Q15:Q17" si="14">IF(ISBLANK(D15),NA(),_xlfn.STDEV.P(E15,I15,M15))</f>
        <v>1.4380252663519761E-2</v>
      </c>
      <c r="R15" s="8"/>
      <c r="S15" s="23">
        <f t="shared" ref="S15:S17" si="15">AVERAGE(G15,K15,O15)</f>
        <v>0.43884193978223324</v>
      </c>
      <c r="T15" s="9">
        <f t="shared" ref="T15:T17" si="16">_xlfn.STDEV.P(G15,K15,O15)</f>
        <v>5.3804505253229593E-2</v>
      </c>
    </row>
    <row r="16" spans="1:20" x14ac:dyDescent="0.35">
      <c r="A16" s="52"/>
      <c r="B16" s="1">
        <f>IF(ISBLANK(C16),NA(),C16-C$7+1)</f>
        <v>721</v>
      </c>
      <c r="C16" s="4">
        <v>45309</v>
      </c>
      <c r="D16" s="7">
        <v>-3.6040000000000001</v>
      </c>
      <c r="E16" s="3">
        <f t="shared" si="2"/>
        <v>-2.8125000000000067E-2</v>
      </c>
      <c r="F16" s="16">
        <v>9455</v>
      </c>
      <c r="G16" s="3">
        <f t="shared" si="3"/>
        <v>0.44192321584125144</v>
      </c>
      <c r="H16" s="7">
        <v>-3.63</v>
      </c>
      <c r="I16" s="3">
        <f t="shared" si="4"/>
        <v>-2.8749999999999609E-3</v>
      </c>
      <c r="J16" s="16">
        <v>9475</v>
      </c>
      <c r="K16" s="3">
        <f t="shared" si="5"/>
        <v>0.31338005801766328</v>
      </c>
      <c r="L16" s="7">
        <v>-3.4750000000000001</v>
      </c>
      <c r="M16" s="3">
        <f t="shared" si="6"/>
        <v>-3.2625000000000015E-2</v>
      </c>
      <c r="N16" s="16">
        <v>9500</v>
      </c>
      <c r="O16" s="3">
        <f t="shared" si="7"/>
        <v>0.56102466391447026</v>
      </c>
      <c r="P16" s="23">
        <f t="shared" si="13"/>
        <v>-2.1208333333333346E-2</v>
      </c>
      <c r="Q16" s="8">
        <f t="shared" si="14"/>
        <v>1.3093149184041112E-2</v>
      </c>
      <c r="R16" s="8"/>
      <c r="S16" s="23">
        <f t="shared" si="15"/>
        <v>0.43877597925779499</v>
      </c>
      <c r="T16" s="9">
        <f t="shared" si="16"/>
        <v>0.10112497723454347</v>
      </c>
    </row>
    <row r="17" spans="1:22" x14ac:dyDescent="0.35">
      <c r="A17" s="52"/>
      <c r="B17" s="1" t="e">
        <f t="shared" si="10"/>
        <v>#N/A</v>
      </c>
      <c r="C17" s="4"/>
      <c r="D17" s="7"/>
      <c r="E17" s="3" t="e">
        <f t="shared" si="2"/>
        <v>#N/A</v>
      </c>
      <c r="F17" s="16"/>
      <c r="G17" s="3" t="e">
        <f t="shared" si="3"/>
        <v>#N/A</v>
      </c>
      <c r="H17" s="7"/>
      <c r="I17" s="3" t="e">
        <f t="shared" si="4"/>
        <v>#N/A</v>
      </c>
      <c r="J17" s="16"/>
      <c r="K17" s="3" t="e">
        <f t="shared" si="5"/>
        <v>#N/A</v>
      </c>
      <c r="L17" s="7"/>
      <c r="M17" s="3">
        <f t="shared" si="6"/>
        <v>0.83612500000000001</v>
      </c>
      <c r="N17" s="16"/>
      <c r="O17" s="3" t="e">
        <f t="shared" si="7"/>
        <v>#N/A</v>
      </c>
      <c r="P17" s="23" t="e">
        <f t="shared" si="13"/>
        <v>#N/A</v>
      </c>
      <c r="Q17" s="8" t="e">
        <f t="shared" si="14"/>
        <v>#N/A</v>
      </c>
      <c r="R17" s="8"/>
      <c r="S17" s="23" t="e">
        <f t="shared" si="15"/>
        <v>#N/A</v>
      </c>
      <c r="T17" s="9" t="e">
        <f t="shared" si="16"/>
        <v>#N/A</v>
      </c>
    </row>
    <row r="19" spans="1:22" x14ac:dyDescent="0.35">
      <c r="B19" s="21"/>
      <c r="S19"/>
      <c r="T19"/>
      <c r="U19"/>
    </row>
    <row r="20" spans="1:22" x14ac:dyDescent="0.35">
      <c r="S20"/>
      <c r="T20"/>
      <c r="U20"/>
    </row>
    <row r="21" spans="1:22" x14ac:dyDescent="0.35">
      <c r="C21" s="21"/>
    </row>
    <row r="22" spans="1:22" x14ac:dyDescent="0.35">
      <c r="C22" s="40" t="s">
        <v>10</v>
      </c>
      <c r="D22" s="13" t="s">
        <v>9</v>
      </c>
      <c r="E22" s="13" t="s">
        <v>11</v>
      </c>
      <c r="F22" s="48" t="s">
        <v>14</v>
      </c>
      <c r="G22" s="50"/>
      <c r="H22" s="48" t="s">
        <v>55</v>
      </c>
      <c r="I22" s="49"/>
      <c r="J22" s="40" t="s">
        <v>63</v>
      </c>
      <c r="K22" s="40"/>
      <c r="L22" s="40"/>
      <c r="M22" s="40"/>
      <c r="N22" s="40"/>
      <c r="O22" s="40"/>
      <c r="P22" s="40"/>
      <c r="Q22" s="40"/>
      <c r="R22" s="40"/>
      <c r="S22" s="40"/>
      <c r="T22" s="40"/>
      <c r="U22"/>
      <c r="V22"/>
    </row>
    <row r="23" spans="1:22" ht="16.5" x14ac:dyDescent="0.35">
      <c r="C23" s="40"/>
      <c r="D23" s="13"/>
      <c r="E23" s="13"/>
      <c r="F23" s="14" t="s">
        <v>12</v>
      </c>
      <c r="G23" s="14" t="s">
        <v>13</v>
      </c>
      <c r="H23" s="14" t="s">
        <v>52</v>
      </c>
      <c r="I23" s="14" t="s">
        <v>54</v>
      </c>
      <c r="J23" s="14" t="s">
        <v>65</v>
      </c>
      <c r="K23" s="14" t="s">
        <v>67</v>
      </c>
      <c r="L23" s="14" t="s">
        <v>69</v>
      </c>
      <c r="M23" s="14" t="s">
        <v>71</v>
      </c>
      <c r="N23" s="14" t="s">
        <v>73</v>
      </c>
      <c r="O23" s="14" t="s">
        <v>89</v>
      </c>
      <c r="P23" s="14" t="s">
        <v>90</v>
      </c>
      <c r="Q23" s="14" t="s">
        <v>92</v>
      </c>
      <c r="R23" s="14" t="s">
        <v>75</v>
      </c>
      <c r="S23" s="14" t="s">
        <v>77</v>
      </c>
      <c r="T23" s="14" t="s">
        <v>79</v>
      </c>
      <c r="U23"/>
      <c r="V23"/>
    </row>
    <row r="24" spans="1:22" x14ac:dyDescent="0.35">
      <c r="B24" s="1">
        <f>IF(ISBLANK(D24),NA(),C24-$C$24)</f>
        <v>0</v>
      </c>
      <c r="C24" s="4">
        <f>C7-1</f>
        <v>44588</v>
      </c>
      <c r="D24" s="16">
        <v>25.6</v>
      </c>
      <c r="E24" s="16">
        <f>D24/0.0129</f>
        <v>1984.4961240310079</v>
      </c>
      <c r="F24" s="1">
        <v>0</v>
      </c>
      <c r="G24" s="1">
        <v>0</v>
      </c>
      <c r="H24" s="16">
        <f>IF(ISBLANK(F24),NA(),F24*62/(23*2)*$E24/1000)</f>
        <v>0</v>
      </c>
      <c r="I24" s="16">
        <f t="shared" ref="I24:I33" si="17">IF(ISBLANK(G24),NA(),G24*62/(23*2)*$E24/1000)</f>
        <v>0</v>
      </c>
      <c r="J24" s="16">
        <f>100*((H24/1000)/INDEX(Alkalis!$K$3:$K$12,MATCH($B$1,Alkalis!$A$3:$A$12,0)))</f>
        <v>0</v>
      </c>
      <c r="K24" s="16">
        <f>100*((I24/1000)/INDEX(Alkalis!$K$3:$K$12,MATCH($B$1,Alkalis!$A$3:$A$12,0)))</f>
        <v>0</v>
      </c>
      <c r="L24" s="7">
        <f>100*(H24/1000)/(3*440*0.1*0.1*0.4*1000)</f>
        <v>0</v>
      </c>
      <c r="M24" s="7">
        <f>100*(I24/1000)/(3*440*0.1*0.1*0.4*1000)</f>
        <v>0</v>
      </c>
      <c r="N24" s="23">
        <f t="shared" ref="N24:N30" si="18">L24+0.658*M24</f>
        <v>0</v>
      </c>
      <c r="O24" s="9">
        <f>100*L24/INDEX(Alkalis!G$3:G$12,MATCH($B$1,Alkalis!$A$3:$A$12,0))</f>
        <v>0</v>
      </c>
      <c r="P24" s="9">
        <f>100*M24/INDEX(Alkalis!H$3:H$12,MATCH($B$1,Alkalis!$A$3:$A$12,0))</f>
        <v>0</v>
      </c>
      <c r="Q24" s="23">
        <f>100*N24/INDEX(Alkalis!I$3:I$12,MATCH($B$1,Alkalis!$A$3:$A$12,0))</f>
        <v>0</v>
      </c>
      <c r="R24" s="9">
        <f t="shared" ref="R24:R30" si="19">440*L24/100</f>
        <v>0</v>
      </c>
      <c r="S24" s="9">
        <f t="shared" ref="S24:S30" si="20">440*M24/100</f>
        <v>0</v>
      </c>
      <c r="T24" s="23">
        <f t="shared" ref="T24:T30" si="21">440*N24/100</f>
        <v>0</v>
      </c>
      <c r="U24"/>
      <c r="V24"/>
    </row>
    <row r="25" spans="1:22" x14ac:dyDescent="0.35">
      <c r="B25" s="1">
        <f t="shared" ref="B25:B33" si="22">IF(ISBLANK(D25),NA(),C25-$C$24)</f>
        <v>27</v>
      </c>
      <c r="C25" s="4">
        <f t="shared" ref="C25:C33" si="23">C9</f>
        <v>44615</v>
      </c>
      <c r="D25" s="16">
        <v>25.2</v>
      </c>
      <c r="E25" s="16">
        <f>D25/0.0129</f>
        <v>1953.4883720930231</v>
      </c>
      <c r="F25" s="1">
        <v>4.2778772393377711</v>
      </c>
      <c r="G25" s="1">
        <v>7.5725210321895862</v>
      </c>
      <c r="H25" s="16">
        <f t="shared" ref="H25:H33" si="24">IF(ISBLANK(F25),NA(),F25*62/(23*2)*$E25/1000)</f>
        <v>11.263490729257386</v>
      </c>
      <c r="I25" s="16">
        <f t="shared" si="17"/>
        <v>19.938164578181681</v>
      </c>
      <c r="J25" s="16">
        <f>100*((H25/1000)/INDEX(Alkalis!$K$3:$K$12,MATCH($B$1,Alkalis!$A$3:$A$12,0)))</f>
        <v>4.5974932770283861E-2</v>
      </c>
      <c r="K25" s="16">
        <f>100*((I25/1000)/INDEX(Alkalis!$K$3:$K$12,MATCH($B$1,Alkalis!$A$3:$A$12,0)))</f>
        <v>8.1382920985916568E-2</v>
      </c>
      <c r="L25" s="7">
        <f t="shared" ref="L25:L33" si="25">100*(H25/1000)/(3*440*0.1*0.1*0.4*1000)</f>
        <v>2.1332368805411712E-4</v>
      </c>
      <c r="M25" s="7">
        <f t="shared" ref="M25:M33" si="26">100*(I25/1000)/(3*440*0.1*0.1*0.4*1000)</f>
        <v>3.7761675337465297E-4</v>
      </c>
      <c r="N25" s="23">
        <f t="shared" si="18"/>
        <v>4.6179551177463876E-4</v>
      </c>
      <c r="O25" s="9">
        <f>100*L25/INDEX(Alkalis!G$3:G$12,MATCH($B$1,Alkalis!$A$3:$A$12,0))</f>
        <v>4.5974932770283854E-2</v>
      </c>
      <c r="P25" s="9">
        <f>100*M25/INDEX(Alkalis!H$3:H$12,MATCH($B$1,Alkalis!$A$3:$A$12,0))</f>
        <v>2.8159340296394705E-2</v>
      </c>
      <c r="Q25" s="23">
        <f>100*N25/INDEX(Alkalis!I$3:I$12,MATCH($B$1,Alkalis!$A$3:$A$12,0))</f>
        <v>3.429909815628588E-2</v>
      </c>
      <c r="R25" s="9">
        <f t="shared" si="19"/>
        <v>9.3862422743811532E-4</v>
      </c>
      <c r="S25" s="9">
        <f t="shared" si="20"/>
        <v>1.6615137148484728E-3</v>
      </c>
      <c r="T25" s="23">
        <f t="shared" si="21"/>
        <v>2.0319002518084106E-3</v>
      </c>
      <c r="U25"/>
      <c r="V25"/>
    </row>
    <row r="26" spans="1:22" x14ac:dyDescent="0.35">
      <c r="B26" s="1">
        <f t="shared" si="22"/>
        <v>55</v>
      </c>
      <c r="C26" s="4">
        <f t="shared" si="23"/>
        <v>44643</v>
      </c>
      <c r="D26" s="16">
        <v>23.8</v>
      </c>
      <c r="E26" s="16">
        <f t="shared" ref="E26:E33" si="27">D26/0.0129</f>
        <v>1844.9612403100775</v>
      </c>
      <c r="F26" s="1">
        <v>4.5935695797796701</v>
      </c>
      <c r="G26" s="1">
        <v>10.366720281981051</v>
      </c>
      <c r="H26" s="16">
        <f t="shared" si="24"/>
        <v>11.422769248269095</v>
      </c>
      <c r="I26" s="16">
        <f t="shared" si="17"/>
        <v>25.778787408310144</v>
      </c>
      <c r="J26" s="16">
        <f>100*((H26/1000)/INDEX(Alkalis!$K$3:$K$12,MATCH($B$1,Alkalis!$A$3:$A$12,0)))</f>
        <v>4.6625070403397223E-2</v>
      </c>
      <c r="K26" s="16">
        <f>100*((I26/1000)/INDEX(Alkalis!$K$3:$K$12,MATCH($B$1,Alkalis!$A$3:$A$12,0)))</f>
        <v>0.10522297629436934</v>
      </c>
      <c r="L26" s="7">
        <f t="shared" si="25"/>
        <v>2.1634032667176313E-4</v>
      </c>
      <c r="M26" s="7">
        <f t="shared" si="26"/>
        <v>4.8823461000587387E-4</v>
      </c>
      <c r="N26" s="23">
        <f t="shared" si="18"/>
        <v>5.3759870005562808E-4</v>
      </c>
      <c r="O26" s="9">
        <f>100*L26/INDEX(Alkalis!G$3:G$12,MATCH($B$1,Alkalis!$A$3:$A$12,0))</f>
        <v>4.6625070403397223E-2</v>
      </c>
      <c r="P26" s="9">
        <f>100*M26/INDEX(Alkalis!H$3:H$12,MATCH($B$1,Alkalis!$A$3:$A$12,0))</f>
        <v>3.6408248322585678E-2</v>
      </c>
      <c r="Q26" s="23">
        <f>100*N26/INDEX(Alkalis!I$3:I$12,MATCH($B$1,Alkalis!$A$3:$A$12,0))</f>
        <v>3.9929254641388086E-2</v>
      </c>
      <c r="R26" s="9">
        <f t="shared" si="19"/>
        <v>9.5189743735575778E-4</v>
      </c>
      <c r="S26" s="9">
        <f t="shared" si="20"/>
        <v>2.1482322840258449E-3</v>
      </c>
      <c r="T26" s="23">
        <f t="shared" si="21"/>
        <v>2.3654342802447636E-3</v>
      </c>
      <c r="U26"/>
      <c r="V26"/>
    </row>
    <row r="27" spans="1:22" x14ac:dyDescent="0.35">
      <c r="B27" s="1">
        <f t="shared" si="22"/>
        <v>82</v>
      </c>
      <c r="C27" s="4">
        <f t="shared" si="23"/>
        <v>44670</v>
      </c>
      <c r="D27" s="16">
        <v>24.3</v>
      </c>
      <c r="E27" s="16">
        <f t="shared" si="27"/>
        <v>1883.7209302325582</v>
      </c>
      <c r="F27" s="1">
        <v>6.1376788286787649</v>
      </c>
      <c r="G27" s="1">
        <v>12.352231282337097</v>
      </c>
      <c r="H27" s="16">
        <f t="shared" si="24"/>
        <v>15.583125923976116</v>
      </c>
      <c r="I27" s="16">
        <f t="shared" si="17"/>
        <v>31.361428463041918</v>
      </c>
      <c r="J27" s="16">
        <f>100*((H27/1000)/INDEX(Alkalis!$K$3:$K$12,MATCH($B$1,Alkalis!$A$3:$A$12,0)))</f>
        <v>6.3606672560639163E-2</v>
      </c>
      <c r="K27" s="16">
        <f>100*((I27/1000)/INDEX(Alkalis!$K$3:$K$12,MATCH($B$1,Alkalis!$A$3:$A$12,0)))</f>
        <v>0.12801001038010182</v>
      </c>
      <c r="L27" s="7">
        <f t="shared" si="25"/>
        <v>2.9513496068136579E-4</v>
      </c>
      <c r="M27" s="7">
        <f t="shared" si="26"/>
        <v>5.9396644816367265E-4</v>
      </c>
      <c r="N27" s="23">
        <f t="shared" si="18"/>
        <v>6.8596488357306243E-4</v>
      </c>
      <c r="O27" s="9">
        <f>100*L27/INDEX(Alkalis!G$3:G$12,MATCH($B$1,Alkalis!$A$3:$A$12,0))</f>
        <v>6.3606672560639177E-2</v>
      </c>
      <c r="P27" s="9">
        <f>100*M27/INDEX(Alkalis!H$3:H$12,MATCH($B$1,Alkalis!$A$3:$A$12,0))</f>
        <v>4.4292800012205272E-2</v>
      </c>
      <c r="Q27" s="23">
        <f>100*N27/INDEX(Alkalis!I$3:I$12,MATCH($B$1,Alkalis!$A$3:$A$12,0))</f>
        <v>5.0948907630179813E-2</v>
      </c>
      <c r="R27" s="9">
        <f t="shared" si="19"/>
        <v>1.2985938269980096E-3</v>
      </c>
      <c r="S27" s="9">
        <f t="shared" si="20"/>
        <v>2.6134523719201596E-3</v>
      </c>
      <c r="T27" s="23">
        <f t="shared" si="21"/>
        <v>3.0182454877214749E-3</v>
      </c>
      <c r="U27"/>
      <c r="V27"/>
    </row>
    <row r="28" spans="1:22" x14ac:dyDescent="0.35">
      <c r="B28" s="1">
        <f t="shared" si="22"/>
        <v>190</v>
      </c>
      <c r="C28" s="4">
        <f t="shared" si="23"/>
        <v>44778</v>
      </c>
      <c r="D28" s="16">
        <v>24.6</v>
      </c>
      <c r="E28" s="16">
        <f t="shared" si="27"/>
        <v>1906.9767441860465</v>
      </c>
      <c r="F28" s="1">
        <v>11.067022847613231</v>
      </c>
      <c r="G28" s="1">
        <v>22.528570794772005</v>
      </c>
      <c r="H28" s="16">
        <f t="shared" si="24"/>
        <v>28.445270049173747</v>
      </c>
      <c r="I28" s="16">
        <f t="shared" si="17"/>
        <v>57.904577310728456</v>
      </c>
      <c r="J28" s="16">
        <f>100*((H28/1000)/INDEX(Alkalis!$K$3:$K$12,MATCH($B$1,Alkalis!$A$3:$A$12,0)))</f>
        <v>0.11610693430468641</v>
      </c>
      <c r="K28" s="16">
        <f>100*((I28/1000)/INDEX(Alkalis!$K$3:$K$12,MATCH($B$1,Alkalis!$A$3:$A$12,0)))</f>
        <v>0.23635293115990905</v>
      </c>
      <c r="L28" s="7">
        <f t="shared" si="25"/>
        <v>5.3873617517374514E-4</v>
      </c>
      <c r="M28" s="7">
        <f t="shared" si="26"/>
        <v>1.0966776005819781E-3</v>
      </c>
      <c r="N28" s="23">
        <f t="shared" si="18"/>
        <v>1.2603500363566867E-3</v>
      </c>
      <c r="O28" s="9">
        <f>100*L28/INDEX(Alkalis!G$3:G$12,MATCH($B$1,Alkalis!$A$3:$A$12,0))</f>
        <v>0.11610693430468645</v>
      </c>
      <c r="P28" s="9">
        <f>100*M28/INDEX(Alkalis!H$3:H$12,MATCH($B$1,Alkalis!$A$3:$A$12,0))</f>
        <v>8.1780581698879806E-2</v>
      </c>
      <c r="Q28" s="23">
        <f>100*N28/INDEX(Alkalis!I$3:I$12,MATCH($B$1,Alkalis!$A$3:$A$12,0))</f>
        <v>9.3610415229355093E-2</v>
      </c>
      <c r="R28" s="9">
        <f t="shared" si="19"/>
        <v>2.3704391707644787E-3</v>
      </c>
      <c r="S28" s="9">
        <f t="shared" si="20"/>
        <v>4.8253814425607035E-3</v>
      </c>
      <c r="T28" s="23">
        <f t="shared" si="21"/>
        <v>5.5455401599694212E-3</v>
      </c>
      <c r="U28"/>
      <c r="V28"/>
    </row>
    <row r="29" spans="1:22" x14ac:dyDescent="0.35">
      <c r="B29" s="1">
        <f t="shared" si="22"/>
        <v>364</v>
      </c>
      <c r="C29" s="4">
        <f t="shared" si="23"/>
        <v>44952</v>
      </c>
      <c r="D29" s="16">
        <v>24</v>
      </c>
      <c r="E29" s="16">
        <f t="shared" si="27"/>
        <v>1860.4651162790697</v>
      </c>
      <c r="F29" s="1">
        <v>35.187666342772744</v>
      </c>
      <c r="G29" s="1">
        <v>47.109000458149943</v>
      </c>
      <c r="H29" s="16">
        <f t="shared" si="24"/>
        <v>88.236008624950856</v>
      </c>
      <c r="I29" s="16">
        <f t="shared" si="17"/>
        <v>118.12974836826275</v>
      </c>
      <c r="J29" s="16">
        <f>100*((H29/1000)/INDEX(Alkalis!$K$3:$K$12,MATCH($B$1,Alkalis!$A$3:$A$12,0)))</f>
        <v>0.36015873426459161</v>
      </c>
      <c r="K29" s="16">
        <f>100*((I29/1000)/INDEX(Alkalis!$K$3:$K$12,MATCH($B$1,Alkalis!$A$3:$A$12,0)))</f>
        <v>0.48217798282500118</v>
      </c>
      <c r="L29" s="7">
        <f t="shared" si="25"/>
        <v>1.6711365269877054E-3</v>
      </c>
      <c r="M29" s="7">
        <f t="shared" si="26"/>
        <v>2.2373058403080061E-3</v>
      </c>
      <c r="N29" s="23">
        <f t="shared" si="18"/>
        <v>3.1432837699103735E-3</v>
      </c>
      <c r="O29" s="9">
        <f>100*L29/INDEX(Alkalis!G$3:G$12,MATCH($B$1,Alkalis!$A$3:$A$12,0))</f>
        <v>0.36015873426459166</v>
      </c>
      <c r="P29" s="9">
        <f>100*M29/INDEX(Alkalis!H$3:H$12,MATCH($B$1,Alkalis!$A$3:$A$12,0))</f>
        <v>0.16683861598120853</v>
      </c>
      <c r="Q29" s="23">
        <f>100*N29/INDEX(Alkalis!I$3:I$12,MATCH($B$1,Alkalis!$A$3:$A$12,0))</f>
        <v>0.23346220525813502</v>
      </c>
      <c r="R29" s="9">
        <f t="shared" si="19"/>
        <v>7.3530007187459032E-3</v>
      </c>
      <c r="S29" s="9">
        <f t="shared" si="20"/>
        <v>9.844145697355226E-3</v>
      </c>
      <c r="T29" s="23">
        <f t="shared" si="21"/>
        <v>1.3830448587605643E-2</v>
      </c>
      <c r="U29"/>
      <c r="V29"/>
    </row>
    <row r="30" spans="1:22" x14ac:dyDescent="0.35">
      <c r="B30" s="1">
        <f t="shared" si="22"/>
        <v>455</v>
      </c>
      <c r="C30" s="4">
        <f t="shared" si="23"/>
        <v>45043</v>
      </c>
      <c r="D30" s="16">
        <v>30.8</v>
      </c>
      <c r="E30" s="16">
        <f t="shared" si="27"/>
        <v>2387.5968992248063</v>
      </c>
      <c r="F30" s="1">
        <f>50*0.783442368616039</f>
        <v>39.172118430801952</v>
      </c>
      <c r="G30" s="1">
        <f>50*1.28380637362696</f>
        <v>64.190318681348003</v>
      </c>
      <c r="H30" s="16">
        <f t="shared" si="24"/>
        <v>126.05843841499733</v>
      </c>
      <c r="I30" s="16">
        <f t="shared" si="17"/>
        <v>206.56864265908689</v>
      </c>
      <c r="J30" s="16">
        <f>100*((H30/1000)/INDEX(Alkalis!$K$3:$K$12,MATCH($B$1,Alkalis!$A$3:$A$12,0)))</f>
        <v>0.51454103976863441</v>
      </c>
      <c r="K30" s="16">
        <f>100*((I30/1000)/INDEX(Alkalis!$K$3:$K$12,MATCH($B$1,Alkalis!$A$3:$A$12,0)))</f>
        <v>0.84316484888929766</v>
      </c>
      <c r="L30" s="7">
        <f t="shared" si="25"/>
        <v>2.3874704245264644E-3</v>
      </c>
      <c r="M30" s="7">
        <f t="shared" si="26"/>
        <v>3.9122848988463414E-3</v>
      </c>
      <c r="N30" s="23">
        <f t="shared" si="18"/>
        <v>4.9617538879673569E-3</v>
      </c>
      <c r="O30" s="9">
        <f>100*L30/INDEX(Alkalis!G$3:G$12,MATCH($B$1,Alkalis!$A$3:$A$12,0))</f>
        <v>0.51454103976863452</v>
      </c>
      <c r="P30" s="9">
        <f>100*M30/INDEX(Alkalis!H$3:H$12,MATCH($B$1,Alkalis!$A$3:$A$12,0))</f>
        <v>0.29174384033156908</v>
      </c>
      <c r="Q30" s="23">
        <f>100*N30/INDEX(Alkalis!I$3:I$12,MATCH($B$1,Alkalis!$A$3:$A$12,0))</f>
        <v>0.36852606682279093</v>
      </c>
      <c r="R30" s="9">
        <f t="shared" si="19"/>
        <v>1.0504869867916444E-2</v>
      </c>
      <c r="S30" s="9">
        <f t="shared" si="20"/>
        <v>1.7214053554923902E-2</v>
      </c>
      <c r="T30" s="23">
        <f t="shared" si="21"/>
        <v>2.1831717107056371E-2</v>
      </c>
      <c r="U30"/>
      <c r="V30"/>
    </row>
    <row r="31" spans="1:22" x14ac:dyDescent="0.35">
      <c r="B31" s="1">
        <f t="shared" si="22"/>
        <v>553</v>
      </c>
      <c r="C31" s="4">
        <f t="shared" si="23"/>
        <v>45141</v>
      </c>
      <c r="D31" s="16">
        <v>23.5</v>
      </c>
      <c r="E31" s="16">
        <f t="shared" si="27"/>
        <v>1821.7054263565892</v>
      </c>
      <c r="F31" s="1">
        <f>50*1.54700791363734</f>
        <v>77.350395681866999</v>
      </c>
      <c r="G31" s="1">
        <f>50*2.51002018473518</f>
        <v>125.501009236759</v>
      </c>
      <c r="H31" s="16">
        <f t="shared" si="24"/>
        <v>189.9216826903947</v>
      </c>
      <c r="I31" s="16">
        <f t="shared" si="17"/>
        <v>308.1479111189044</v>
      </c>
      <c r="J31" s="16">
        <f>100*((H31/1000)/INDEX(Alkalis!$K$3:$K$12,MATCH($B$1,Alkalis!$A$3:$A$12,0)))</f>
        <v>0.77521585476421528</v>
      </c>
      <c r="K31" s="16">
        <f>100*((I31/1000)/INDEX(Alkalis!$K$3:$K$12,MATCH($B$1,Alkalis!$A$3:$A$12,0)))</f>
        <v>1.2577876466125599</v>
      </c>
      <c r="L31" s="7">
        <f t="shared" si="25"/>
        <v>3.5970015661059597E-3</v>
      </c>
      <c r="M31" s="7">
        <f t="shared" si="26"/>
        <v>5.8361346802822791E-3</v>
      </c>
      <c r="N31" s="23">
        <f t="shared" ref="N31:N33" si="28">L31+0.658*M31</f>
        <v>7.4371781857317E-3</v>
      </c>
      <c r="O31" s="9">
        <f>100*L31/INDEX(Alkalis!G$3:G$12,MATCH($B$1,Alkalis!$A$3:$A$12,0))</f>
        <v>0.7752158547642154</v>
      </c>
      <c r="P31" s="9">
        <f>100*M31/INDEX(Alkalis!H$3:H$12,MATCH($B$1,Alkalis!$A$3:$A$12,0))</f>
        <v>0.43520765699345854</v>
      </c>
      <c r="Q31" s="23">
        <f>100*N31/INDEX(Alkalis!I$3:I$12,MATCH($B$1,Alkalis!$A$3:$A$12,0))</f>
        <v>0.55238411395103748</v>
      </c>
      <c r="R31" s="9">
        <f t="shared" ref="R31:R33" si="29">440*L31/100</f>
        <v>1.5826806890866223E-2</v>
      </c>
      <c r="S31" s="9">
        <f t="shared" ref="S31:S33" si="30">440*M31/100</f>
        <v>2.5678992593242026E-2</v>
      </c>
      <c r="T31" s="23">
        <f t="shared" ref="T31:T33" si="31">440*N31/100</f>
        <v>3.2723584017219476E-2</v>
      </c>
      <c r="U31"/>
      <c r="V31"/>
    </row>
    <row r="32" spans="1:22" x14ac:dyDescent="0.35">
      <c r="B32" s="1">
        <f t="shared" si="22"/>
        <v>721</v>
      </c>
      <c r="C32" s="4">
        <f t="shared" si="23"/>
        <v>45309</v>
      </c>
      <c r="D32" s="16">
        <v>20.9</v>
      </c>
      <c r="E32" s="16">
        <f t="shared" si="27"/>
        <v>1620.1550387596899</v>
      </c>
      <c r="F32" s="1">
        <f>50*2.73347338399794</f>
        <v>136.67366919989701</v>
      </c>
      <c r="G32" s="1">
        <f>50*3.39837502657076</f>
        <v>169.91875132853801</v>
      </c>
      <c r="H32" s="16">
        <f t="shared" si="24"/>
        <v>298.45254558346232</v>
      </c>
      <c r="I32" s="16">
        <f t="shared" si="17"/>
        <v>371.04940676022846</v>
      </c>
      <c r="J32" s="16">
        <f>100*((H32/1000)/INDEX(Alkalis!$K$3:$K$12,MATCH($B$1,Alkalis!$A$3:$A$12,0)))</f>
        <v>1.2182134338405428</v>
      </c>
      <c r="K32" s="16">
        <f>100*((I32/1000)/INDEX(Alkalis!$K$3:$K$12,MATCH($B$1,Alkalis!$A$3:$A$12,0)))</f>
        <v>1.5145368287953416</v>
      </c>
      <c r="L32" s="7">
        <f t="shared" si="25"/>
        <v>5.6525103330201188E-3</v>
      </c>
      <c r="M32" s="7">
        <f t="shared" si="26"/>
        <v>7.0274508856103873E-3</v>
      </c>
      <c r="N32" s="23">
        <f t="shared" si="28"/>
        <v>1.0276573015751755E-2</v>
      </c>
      <c r="O32" s="9">
        <f>100*L32/INDEX(Alkalis!G$3:G$12,MATCH($B$1,Alkalis!$A$3:$A$12,0))</f>
        <v>1.2182134338405428</v>
      </c>
      <c r="P32" s="9">
        <f>100*M32/INDEX(Alkalis!H$3:H$12,MATCH($B$1,Alkalis!$A$3:$A$12,0))</f>
        <v>0.52404555448250467</v>
      </c>
      <c r="Q32" s="23">
        <f>100*N32/INDEX(Alkalis!I$3:I$12,MATCH($B$1,Alkalis!$A$3:$A$12,0))</f>
        <v>0.76327547061462342</v>
      </c>
      <c r="R32" s="9">
        <f t="shared" si="29"/>
        <v>2.4871045465288524E-2</v>
      </c>
      <c r="S32" s="9">
        <f t="shared" si="30"/>
        <v>3.0920783896685705E-2</v>
      </c>
      <c r="T32" s="23">
        <f t="shared" si="31"/>
        <v>4.5216921269307722E-2</v>
      </c>
      <c r="U32"/>
      <c r="V32"/>
    </row>
    <row r="33" spans="2:22" x14ac:dyDescent="0.35">
      <c r="B33" s="1" t="e">
        <f t="shared" si="22"/>
        <v>#N/A</v>
      </c>
      <c r="C33" s="4">
        <f t="shared" si="23"/>
        <v>0</v>
      </c>
      <c r="D33" s="16"/>
      <c r="E33" s="16">
        <f t="shared" si="27"/>
        <v>0</v>
      </c>
      <c r="F33" s="1"/>
      <c r="G33" s="1"/>
      <c r="H33" s="16" t="e">
        <f t="shared" si="24"/>
        <v>#N/A</v>
      </c>
      <c r="I33" s="16" t="e">
        <f t="shared" si="17"/>
        <v>#N/A</v>
      </c>
      <c r="J33" s="16" t="e">
        <f>100*((H33/1000)/INDEX(Alkalis!$K$3:$K$12,MATCH($B$1,Alkalis!$A$3:$A$12,0)))</f>
        <v>#N/A</v>
      </c>
      <c r="K33" s="16" t="e">
        <f>100*((I33/1000)/INDEX(Alkalis!$K$3:$K$12,MATCH($B$1,Alkalis!$A$3:$A$12,0)))</f>
        <v>#N/A</v>
      </c>
      <c r="L33" s="7" t="e">
        <f t="shared" si="25"/>
        <v>#N/A</v>
      </c>
      <c r="M33" s="7" t="e">
        <f t="shared" si="26"/>
        <v>#N/A</v>
      </c>
      <c r="N33" s="23" t="e">
        <f t="shared" si="28"/>
        <v>#N/A</v>
      </c>
      <c r="O33" s="9" t="e">
        <f>100*L33/INDEX(Alkalis!G$3:G$12,MATCH($B$1,Alkalis!$A$3:$A$12,0))</f>
        <v>#N/A</v>
      </c>
      <c r="P33" s="9" t="e">
        <f>100*M33/INDEX(Alkalis!H$3:H$12,MATCH($B$1,Alkalis!$A$3:$A$12,0))</f>
        <v>#N/A</v>
      </c>
      <c r="Q33" s="23" t="e">
        <f>100*N33/INDEX(Alkalis!I$3:I$12,MATCH($B$1,Alkalis!$A$3:$A$12,0))</f>
        <v>#N/A</v>
      </c>
      <c r="R33" s="9" t="e">
        <f t="shared" si="29"/>
        <v>#N/A</v>
      </c>
      <c r="S33" s="9" t="e">
        <f t="shared" si="30"/>
        <v>#N/A</v>
      </c>
      <c r="T33" s="23" t="e">
        <f t="shared" si="31"/>
        <v>#N/A</v>
      </c>
      <c r="U33"/>
      <c r="V33"/>
    </row>
    <row r="34" spans="2:22" x14ac:dyDescent="0.35">
      <c r="U34"/>
      <c r="V34"/>
    </row>
    <row r="35" spans="2:22" x14ac:dyDescent="0.35">
      <c r="U35"/>
      <c r="V35"/>
    </row>
    <row r="36" spans="2:22" x14ac:dyDescent="0.35">
      <c r="U36"/>
      <c r="V36"/>
    </row>
  </sheetData>
  <mergeCells count="20">
    <mergeCell ref="A7:A17"/>
    <mergeCell ref="R3:R4"/>
    <mergeCell ref="B6:C6"/>
    <mergeCell ref="L5:M5"/>
    <mergeCell ref="P3:P4"/>
    <mergeCell ref="Q3:Q4"/>
    <mergeCell ref="D3:G3"/>
    <mergeCell ref="L3:O3"/>
    <mergeCell ref="H3:K3"/>
    <mergeCell ref="B1:C1"/>
    <mergeCell ref="B3:C4"/>
    <mergeCell ref="B5:C5"/>
    <mergeCell ref="D5:E5"/>
    <mergeCell ref="H5:I5"/>
    <mergeCell ref="C22:C23"/>
    <mergeCell ref="H22:I22"/>
    <mergeCell ref="F22:G22"/>
    <mergeCell ref="J22:T22"/>
    <mergeCell ref="T3:T4"/>
    <mergeCell ref="S3:S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2CA58-6688-4E86-B28C-7F1CBED86CE0}">
  <dimension ref="A2:I24"/>
  <sheetViews>
    <sheetView workbookViewId="0">
      <selection activeCell="N18" sqref="N18"/>
    </sheetView>
  </sheetViews>
  <sheetFormatPr defaultColWidth="9.1796875" defaultRowHeight="14.5" x14ac:dyDescent="0.35"/>
  <cols>
    <col min="1" max="1" width="10.7265625" style="10" bestFit="1" customWidth="1"/>
    <col min="2" max="2" width="12.453125" style="10" bestFit="1" customWidth="1"/>
    <col min="3" max="3" width="12.81640625" style="10" bestFit="1" customWidth="1"/>
    <col min="4" max="16384" width="9.1796875" style="10"/>
  </cols>
  <sheetData>
    <row r="2" spans="2:9" x14ac:dyDescent="0.35">
      <c r="B2" s="13" t="s">
        <v>8</v>
      </c>
      <c r="C2" s="13" t="s">
        <v>9</v>
      </c>
    </row>
    <row r="3" spans="2:9" x14ac:dyDescent="0.35">
      <c r="B3" s="11">
        <v>0</v>
      </c>
      <c r="C3" s="11">
        <v>0</v>
      </c>
    </row>
    <row r="4" spans="2:9" x14ac:dyDescent="0.35">
      <c r="B4" s="11">
        <v>500</v>
      </c>
      <c r="C4" s="11">
        <v>5.7</v>
      </c>
    </row>
    <row r="5" spans="2:9" x14ac:dyDescent="0.35">
      <c r="B5" s="11">
        <v>1000</v>
      </c>
      <c r="C5" s="11">
        <v>12.2</v>
      </c>
    </row>
    <row r="6" spans="2:9" x14ac:dyDescent="0.35">
      <c r="B6" s="11">
        <v>1500</v>
      </c>
      <c r="C6" s="11">
        <v>19</v>
      </c>
      <c r="E6" s="10" t="e">
        <f>100*(D7-$D$6)/$D$5</f>
        <v>#DIV/0!</v>
      </c>
      <c r="I6" s="10" t="e">
        <f>100*(H7-$H$6)/$H$5</f>
        <v>#DIV/0!</v>
      </c>
    </row>
    <row r="7" spans="2:9" x14ac:dyDescent="0.35">
      <c r="B7" s="11">
        <v>2000</v>
      </c>
      <c r="C7" s="11">
        <v>26.6</v>
      </c>
      <c r="E7" s="10" t="e">
        <f>IF(ISBLANK(D7),NA(),100*(D7-$D$7)/$D$5)</f>
        <v>#N/A</v>
      </c>
      <c r="I7" s="10" t="e">
        <f>IF(ISBLANK(H7),NA(),100*(H7-$H$7)/$H$5)</f>
        <v>#N/A</v>
      </c>
    </row>
    <row r="8" spans="2:9" x14ac:dyDescent="0.35">
      <c r="E8" s="10" t="e">
        <f t="shared" ref="E8:E13" si="0">IF(ISBLANK(D8),NA(),100*(D8-$D$7)/$D$5)</f>
        <v>#N/A</v>
      </c>
      <c r="I8" s="10" t="e">
        <f t="shared" ref="I8:I13" si="1">IF(ISBLANK(H8),NA(),100*(H8-$H$7)/$H$5)</f>
        <v>#N/A</v>
      </c>
    </row>
    <row r="9" spans="2:9" x14ac:dyDescent="0.35">
      <c r="E9" s="10" t="e">
        <f t="shared" si="0"/>
        <v>#N/A</v>
      </c>
      <c r="I9" s="10" t="e">
        <f t="shared" si="1"/>
        <v>#N/A</v>
      </c>
    </row>
    <row r="10" spans="2:9" x14ac:dyDescent="0.35">
      <c r="E10" s="10" t="e">
        <f t="shared" si="0"/>
        <v>#N/A</v>
      </c>
      <c r="I10" s="10" t="e">
        <f t="shared" si="1"/>
        <v>#N/A</v>
      </c>
    </row>
    <row r="11" spans="2:9" x14ac:dyDescent="0.35">
      <c r="E11" s="10" t="e">
        <f t="shared" si="0"/>
        <v>#N/A</v>
      </c>
      <c r="I11" s="10" t="e">
        <f t="shared" si="1"/>
        <v>#N/A</v>
      </c>
    </row>
    <row r="12" spans="2:9" x14ac:dyDescent="0.35">
      <c r="E12" s="10" t="e">
        <f t="shared" si="0"/>
        <v>#N/A</v>
      </c>
      <c r="I12" s="10" t="e">
        <f t="shared" si="1"/>
        <v>#N/A</v>
      </c>
    </row>
    <row r="13" spans="2:9" x14ac:dyDescent="0.35">
      <c r="E13" s="10" t="e">
        <f t="shared" si="0"/>
        <v>#N/A</v>
      </c>
      <c r="I13" s="10" t="e">
        <f t="shared" si="1"/>
        <v>#N/A</v>
      </c>
    </row>
    <row r="24" spans="1:1" x14ac:dyDescent="0.35">
      <c r="A24" s="1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1C7AB-462F-45D7-BDE5-00D855A3EBF1}">
  <dimension ref="A1:N19"/>
  <sheetViews>
    <sheetView zoomScale="85" zoomScaleNormal="85" workbookViewId="0">
      <selection activeCell="J16" sqref="J16"/>
    </sheetView>
  </sheetViews>
  <sheetFormatPr defaultColWidth="9.1796875" defaultRowHeight="14.5" x14ac:dyDescent="0.35"/>
  <cols>
    <col min="1" max="1" width="12.7265625" style="17" bestFit="1" customWidth="1"/>
    <col min="2" max="9" width="9.1796875" style="17"/>
    <col min="10" max="10" width="11.453125" style="17" bestFit="1" customWidth="1"/>
    <col min="11" max="16384" width="9.1796875" style="17"/>
  </cols>
  <sheetData>
    <row r="1" spans="1:14" x14ac:dyDescent="0.35">
      <c r="A1" s="39" t="s">
        <v>4</v>
      </c>
      <c r="B1" s="39" t="s">
        <v>56</v>
      </c>
      <c r="C1" s="39"/>
      <c r="D1" s="39" t="s">
        <v>57</v>
      </c>
      <c r="E1" s="39"/>
      <c r="F1" s="39" t="s">
        <v>58</v>
      </c>
      <c r="G1" s="39" t="s">
        <v>87</v>
      </c>
      <c r="H1" s="39"/>
      <c r="I1" s="39"/>
      <c r="J1" s="39"/>
      <c r="K1" s="39" t="s">
        <v>59</v>
      </c>
      <c r="L1" s="39"/>
    </row>
    <row r="2" spans="1:14" ht="16.5" x14ac:dyDescent="0.35">
      <c r="A2" s="39"/>
      <c r="B2" s="1" t="s">
        <v>51</v>
      </c>
      <c r="C2" s="1" t="s">
        <v>53</v>
      </c>
      <c r="D2" s="1" t="s">
        <v>51</v>
      </c>
      <c r="E2" s="1" t="s">
        <v>53</v>
      </c>
      <c r="F2" s="39"/>
      <c r="G2" s="1" t="s">
        <v>51</v>
      </c>
      <c r="H2" s="1" t="s">
        <v>53</v>
      </c>
      <c r="I2" s="1" t="s">
        <v>88</v>
      </c>
      <c r="J2" s="1" t="s">
        <v>100</v>
      </c>
      <c r="K2" s="1" t="s">
        <v>51</v>
      </c>
      <c r="L2" s="1" t="s">
        <v>53</v>
      </c>
    </row>
    <row r="3" spans="1:14" x14ac:dyDescent="0.35">
      <c r="A3" s="1" t="s">
        <v>60</v>
      </c>
      <c r="B3" s="1">
        <v>0.33</v>
      </c>
      <c r="C3" s="1">
        <v>0.38</v>
      </c>
      <c r="D3" s="1"/>
      <c r="E3" s="1"/>
      <c r="F3" s="1">
        <v>0</v>
      </c>
      <c r="G3" s="9">
        <f>(1-$F3/100)*B3+($F3/100)*D3</f>
        <v>0.33</v>
      </c>
      <c r="H3" s="9">
        <f>(1-$F3/100)*C3+($F3/100)*E3</f>
        <v>0.38</v>
      </c>
      <c r="I3" s="9">
        <f>G3+0.658*H3</f>
        <v>0.58004000000000011</v>
      </c>
      <c r="J3" s="9">
        <v>0.4</v>
      </c>
      <c r="K3" s="1">
        <f>((B3*(100-$F3)/100+D3*$F3/100)/100)*3*440*(0.1*0.1*0.4)*1000</f>
        <v>17.424000000000003</v>
      </c>
      <c r="L3" s="1">
        <f>((C3*(100-$F3)/100+E3*$F3/100)/100)*3*440*(0.1*0.1*0.4)*1000</f>
        <v>20.064000000000007</v>
      </c>
    </row>
    <row r="4" spans="1:14" x14ac:dyDescent="0.35">
      <c r="A4" s="1" t="s">
        <v>61</v>
      </c>
      <c r="B4" s="1">
        <v>0.45</v>
      </c>
      <c r="C4" s="1">
        <v>1.18</v>
      </c>
      <c r="D4" s="1"/>
      <c r="E4" s="1"/>
      <c r="F4" s="1">
        <v>0</v>
      </c>
      <c r="G4" s="9">
        <f t="shared" ref="G4:G12" si="0">(1-$F4/100)*B4+($F4/100)*D4</f>
        <v>0.45</v>
      </c>
      <c r="H4" s="9">
        <f t="shared" ref="H4:H12" si="1">(1-$F4/100)*C4+($F4/100)*E4</f>
        <v>1.18</v>
      </c>
      <c r="I4" s="9">
        <f t="shared" ref="I4:I12" si="2">G4+0.658*H4</f>
        <v>1.22644</v>
      </c>
      <c r="J4" s="9">
        <v>0.69</v>
      </c>
      <c r="K4" s="1">
        <f t="shared" ref="K4:K12" si="3">((B4*(100-$F4)/100+D4*$F4/100)/100)*3*440*(0.1*0.1*0.4)*1000</f>
        <v>23.760000000000005</v>
      </c>
      <c r="L4" s="1">
        <f t="shared" ref="L4:L12" si="4">((C4*(100-$F4)/100+E4*$F4/100)/100)*3*440*(0.1*0.1*0.4)*1000</f>
        <v>62.304000000000016</v>
      </c>
    </row>
    <row r="5" spans="1:14" x14ac:dyDescent="0.35">
      <c r="A5" s="1" t="s">
        <v>105</v>
      </c>
      <c r="B5" s="1">
        <f>B3</f>
        <v>0.33</v>
      </c>
      <c r="C5" s="1">
        <f>C3</f>
        <v>0.38</v>
      </c>
      <c r="D5" s="1">
        <v>0.71</v>
      </c>
      <c r="E5" s="1">
        <v>7.35</v>
      </c>
      <c r="F5" s="1">
        <v>35</v>
      </c>
      <c r="G5" s="9">
        <f t="shared" si="0"/>
        <v>0.46299999999999997</v>
      </c>
      <c r="H5" s="9">
        <f t="shared" si="1"/>
        <v>2.8194999999999997</v>
      </c>
      <c r="I5" s="9">
        <f t="shared" si="2"/>
        <v>2.3182309999999999</v>
      </c>
      <c r="J5" s="9">
        <v>0.63</v>
      </c>
      <c r="K5" s="1">
        <f t="shared" si="3"/>
        <v>24.446400000000008</v>
      </c>
      <c r="L5" s="1">
        <f t="shared" si="4"/>
        <v>148.86960000000002</v>
      </c>
      <c r="M5"/>
      <c r="N5"/>
    </row>
    <row r="6" spans="1:14" x14ac:dyDescent="0.35">
      <c r="A6" s="1" t="s">
        <v>104</v>
      </c>
      <c r="B6" s="1">
        <f>B3</f>
        <v>0.33</v>
      </c>
      <c r="C6" s="1">
        <f>C3</f>
        <v>0.38</v>
      </c>
      <c r="D6" s="1">
        <v>0.87</v>
      </c>
      <c r="E6" s="1">
        <v>4.93</v>
      </c>
      <c r="F6" s="1">
        <v>35</v>
      </c>
      <c r="G6" s="9">
        <f t="shared" si="0"/>
        <v>0.51900000000000002</v>
      </c>
      <c r="H6" s="9">
        <f t="shared" si="1"/>
        <v>1.9724999999999999</v>
      </c>
      <c r="I6" s="9">
        <f t="shared" si="2"/>
        <v>1.8169050000000002</v>
      </c>
      <c r="J6" s="9">
        <v>1.05</v>
      </c>
      <c r="K6" s="1">
        <f t="shared" si="3"/>
        <v>27.403200000000009</v>
      </c>
      <c r="L6" s="1">
        <f t="shared" si="4"/>
        <v>104.14800000000001</v>
      </c>
      <c r="M6"/>
      <c r="N6"/>
    </row>
    <row r="7" spans="1:14" x14ac:dyDescent="0.35">
      <c r="A7" s="1" t="s">
        <v>106</v>
      </c>
      <c r="B7" s="1">
        <f>B4</f>
        <v>0.45</v>
      </c>
      <c r="C7" s="1">
        <f>C4</f>
        <v>1.18</v>
      </c>
      <c r="D7" s="1">
        <v>0.81</v>
      </c>
      <c r="E7" s="1">
        <v>2.66</v>
      </c>
      <c r="F7" s="1">
        <v>35</v>
      </c>
      <c r="G7" s="9">
        <f t="shared" si="0"/>
        <v>0.57600000000000007</v>
      </c>
      <c r="H7" s="9">
        <f t="shared" si="1"/>
        <v>1.698</v>
      </c>
      <c r="I7" s="9">
        <f t="shared" si="2"/>
        <v>1.693284</v>
      </c>
      <c r="J7" s="9">
        <v>0.39</v>
      </c>
      <c r="K7" s="1">
        <f t="shared" si="3"/>
        <v>30.412800000000008</v>
      </c>
      <c r="L7" s="1">
        <f t="shared" si="4"/>
        <v>89.654400000000024</v>
      </c>
      <c r="M7"/>
      <c r="N7"/>
    </row>
    <row r="8" spans="1:14" x14ac:dyDescent="0.35">
      <c r="A8" s="1" t="s">
        <v>107</v>
      </c>
      <c r="B8" s="1">
        <f>B4</f>
        <v>0.45</v>
      </c>
      <c r="C8" s="1">
        <f>C4</f>
        <v>1.18</v>
      </c>
      <c r="D8" s="1">
        <v>0.92</v>
      </c>
      <c r="E8" s="1">
        <v>2.4700000000000002</v>
      </c>
      <c r="F8" s="1">
        <v>35</v>
      </c>
      <c r="G8" s="9">
        <f t="shared" si="0"/>
        <v>0.61450000000000005</v>
      </c>
      <c r="H8" s="9">
        <f t="shared" si="1"/>
        <v>1.6315</v>
      </c>
      <c r="I8" s="9">
        <f t="shared" si="2"/>
        <v>1.6880270000000002</v>
      </c>
      <c r="J8" s="9">
        <v>0.37</v>
      </c>
      <c r="K8" s="1">
        <f t="shared" si="3"/>
        <v>32.445600000000006</v>
      </c>
      <c r="L8" s="1">
        <f t="shared" si="4"/>
        <v>86.143200000000036</v>
      </c>
      <c r="M8"/>
      <c r="N8"/>
    </row>
    <row r="9" spans="1:14" x14ac:dyDescent="0.35">
      <c r="A9" s="1" t="s">
        <v>37</v>
      </c>
      <c r="B9" s="1">
        <f>B4</f>
        <v>0.45</v>
      </c>
      <c r="C9" s="1">
        <f>C4</f>
        <v>1.18</v>
      </c>
      <c r="D9" s="1">
        <v>1.06</v>
      </c>
      <c r="E9" s="1">
        <v>2.81</v>
      </c>
      <c r="F9" s="1">
        <v>35</v>
      </c>
      <c r="G9" s="9">
        <f t="shared" si="0"/>
        <v>0.66349999999999998</v>
      </c>
      <c r="H9" s="9">
        <f t="shared" si="1"/>
        <v>1.7504999999999999</v>
      </c>
      <c r="I9" s="9">
        <f t="shared" si="2"/>
        <v>1.815329</v>
      </c>
      <c r="J9" s="9">
        <v>0.54</v>
      </c>
      <c r="K9" s="1">
        <f t="shared" si="3"/>
        <v>35.032800000000009</v>
      </c>
      <c r="L9" s="1">
        <f t="shared" si="4"/>
        <v>92.426400000000029</v>
      </c>
      <c r="M9"/>
      <c r="N9"/>
    </row>
    <row r="10" spans="1:14" x14ac:dyDescent="0.35">
      <c r="A10" s="1" t="s">
        <v>84</v>
      </c>
      <c r="B10" s="1">
        <f>B4</f>
        <v>0.45</v>
      </c>
      <c r="C10" s="1">
        <f>C4</f>
        <v>1.18</v>
      </c>
      <c r="D10" s="1">
        <v>1.03</v>
      </c>
      <c r="E10" s="1">
        <v>2.4300000000000002</v>
      </c>
      <c r="F10" s="1">
        <v>35</v>
      </c>
      <c r="G10" s="9">
        <f t="shared" si="0"/>
        <v>0.65300000000000002</v>
      </c>
      <c r="H10" s="9">
        <f t="shared" si="1"/>
        <v>1.6175000000000002</v>
      </c>
      <c r="I10" s="9">
        <f t="shared" si="2"/>
        <v>1.7173150000000001</v>
      </c>
      <c r="J10" s="9">
        <v>0.54</v>
      </c>
      <c r="K10" s="1">
        <f t="shared" si="3"/>
        <v>34.478400000000008</v>
      </c>
      <c r="L10" s="1">
        <f t="shared" si="4"/>
        <v>85.404000000000039</v>
      </c>
      <c r="M10"/>
      <c r="N10"/>
    </row>
    <row r="11" spans="1:14" x14ac:dyDescent="0.35">
      <c r="A11" s="1" t="s">
        <v>85</v>
      </c>
      <c r="B11" s="1">
        <f>B4</f>
        <v>0.45</v>
      </c>
      <c r="C11" s="1">
        <f>C4</f>
        <v>1.18</v>
      </c>
      <c r="D11" s="1">
        <v>0.49</v>
      </c>
      <c r="E11" s="1">
        <v>1.64</v>
      </c>
      <c r="F11" s="1">
        <v>35</v>
      </c>
      <c r="G11" s="9">
        <f t="shared" si="0"/>
        <v>0.46400000000000002</v>
      </c>
      <c r="H11" s="9">
        <f t="shared" si="1"/>
        <v>1.341</v>
      </c>
      <c r="I11" s="9">
        <f t="shared" si="2"/>
        <v>1.3463780000000001</v>
      </c>
      <c r="J11" s="9">
        <v>0.47</v>
      </c>
      <c r="K11" s="1">
        <f t="shared" si="3"/>
        <v>24.499200000000009</v>
      </c>
      <c r="L11" s="1">
        <f t="shared" si="4"/>
        <v>70.804800000000014</v>
      </c>
      <c r="M11"/>
      <c r="N11"/>
    </row>
    <row r="12" spans="1:14" x14ac:dyDescent="0.35">
      <c r="A12" s="1" t="s">
        <v>86</v>
      </c>
      <c r="B12" s="1">
        <f>B3</f>
        <v>0.33</v>
      </c>
      <c r="C12" s="1">
        <f>C3</f>
        <v>0.38</v>
      </c>
      <c r="D12" s="1">
        <v>13.63</v>
      </c>
      <c r="E12" s="1">
        <v>0.21</v>
      </c>
      <c r="F12" s="1">
        <v>35</v>
      </c>
      <c r="G12" s="9">
        <f t="shared" si="0"/>
        <v>4.9850000000000003</v>
      </c>
      <c r="H12" s="9">
        <f t="shared" si="1"/>
        <v>0.32050000000000001</v>
      </c>
      <c r="I12" s="9">
        <f t="shared" si="2"/>
        <v>5.1958890000000002</v>
      </c>
      <c r="J12" s="9">
        <v>0.38</v>
      </c>
      <c r="K12" s="1">
        <f t="shared" si="3"/>
        <v>263.20800000000008</v>
      </c>
      <c r="L12" s="1">
        <f t="shared" si="4"/>
        <v>16.922400000000003</v>
      </c>
      <c r="M12"/>
      <c r="N12"/>
    </row>
    <row r="13" spans="1:14" x14ac:dyDescent="0.35">
      <c r="D13"/>
      <c r="E13"/>
      <c r="F13"/>
      <c r="G13"/>
      <c r="H13"/>
      <c r="I13"/>
      <c r="J13"/>
      <c r="K13"/>
      <c r="L13"/>
      <c r="M13"/>
      <c r="N13"/>
    </row>
    <row r="14" spans="1:14" x14ac:dyDescent="0.35">
      <c r="D14"/>
      <c r="E14"/>
      <c r="F14"/>
      <c r="G14"/>
      <c r="H14"/>
      <c r="I14"/>
      <c r="J14"/>
      <c r="K14"/>
      <c r="L14"/>
      <c r="M14"/>
      <c r="N14"/>
    </row>
    <row r="15" spans="1:14" x14ac:dyDescent="0.35">
      <c r="A15" s="25" t="s">
        <v>93</v>
      </c>
      <c r="B15" s="26"/>
      <c r="C15" s="26"/>
      <c r="D15" s="26"/>
      <c r="E15" s="26"/>
      <c r="F15" s="26"/>
      <c r="G15" s="18"/>
    </row>
    <row r="16" spans="1:14" x14ac:dyDescent="0.35">
      <c r="A16" s="27"/>
      <c r="G16" s="20"/>
    </row>
    <row r="17" spans="1:7" x14ac:dyDescent="0.35">
      <c r="A17" s="28" t="s">
        <v>94</v>
      </c>
      <c r="C17" s="17">
        <v>10</v>
      </c>
      <c r="D17" s="17" t="s">
        <v>95</v>
      </c>
      <c r="G17" s="20"/>
    </row>
    <row r="18" spans="1:7" x14ac:dyDescent="0.35">
      <c r="A18" s="28" t="s">
        <v>96</v>
      </c>
      <c r="C18" s="17">
        <v>0.8</v>
      </c>
      <c r="D18" s="17" t="s">
        <v>95</v>
      </c>
      <c r="E18" s="29" t="s">
        <v>97</v>
      </c>
      <c r="G18" s="20"/>
    </row>
    <row r="19" spans="1:7" x14ac:dyDescent="0.35">
      <c r="A19" s="30" t="s">
        <v>98</v>
      </c>
      <c r="B19" s="31"/>
      <c r="C19" s="32">
        <f>100*SQRT((C17/100)^2+(C18/100)^2)</f>
        <v>10.031948963187563</v>
      </c>
      <c r="D19" s="31" t="s">
        <v>95</v>
      </c>
      <c r="E19" s="33"/>
      <c r="F19" s="33"/>
      <c r="G19" s="19"/>
    </row>
  </sheetData>
  <mergeCells count="6">
    <mergeCell ref="B1:C1"/>
    <mergeCell ref="D1:E1"/>
    <mergeCell ref="A1:A2"/>
    <mergeCell ref="F1:F2"/>
    <mergeCell ref="K1:L1"/>
    <mergeCell ref="G1:J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F76E7-57CF-42E7-9EEF-3026EE0BC386}">
  <sheetPr>
    <tabColor theme="8"/>
  </sheetPr>
  <dimension ref="A1:V37"/>
  <sheetViews>
    <sheetView zoomScale="55" zoomScaleNormal="55" workbookViewId="0">
      <selection activeCell="P38" sqref="P38"/>
    </sheetView>
  </sheetViews>
  <sheetFormatPr defaultColWidth="8.81640625" defaultRowHeight="14.5" x14ac:dyDescent="0.35"/>
  <cols>
    <col min="1" max="1" width="3.54296875" style="17" bestFit="1" customWidth="1"/>
    <col min="2" max="2" width="15.26953125" style="17" bestFit="1" customWidth="1"/>
    <col min="3" max="3" width="15.26953125" style="17" customWidth="1"/>
    <col min="4" max="4" width="13.7265625" style="17" bestFit="1" customWidth="1"/>
    <col min="5" max="5" width="13.81640625" style="17" bestFit="1" customWidth="1"/>
    <col min="6" max="7" width="13.81640625" style="17" customWidth="1"/>
    <col min="8" max="8" width="13.7265625" style="17" bestFit="1" customWidth="1"/>
    <col min="9" max="9" width="13.81640625" style="17" bestFit="1" customWidth="1"/>
    <col min="10" max="11" width="13.81640625" style="17" customWidth="1"/>
    <col min="12" max="12" width="13.7265625" style="17" bestFit="1" customWidth="1"/>
    <col min="13" max="13" width="13.81640625" style="17" bestFit="1" customWidth="1"/>
    <col min="14" max="15" width="13.81640625" style="17" customWidth="1"/>
    <col min="16" max="16" width="17.26953125" style="17" bestFit="1" customWidth="1"/>
    <col min="17" max="17" width="16.26953125" style="17" bestFit="1" customWidth="1"/>
    <col min="18" max="18" width="18.26953125" style="17" customWidth="1"/>
    <col min="19" max="19" width="16.453125" style="17" bestFit="1" customWidth="1"/>
    <col min="20" max="20" width="15.1796875" style="17" bestFit="1" customWidth="1"/>
    <col min="21" max="21" width="16.26953125" style="17" bestFit="1" customWidth="1"/>
    <col min="22" max="22" width="18.7265625" style="17" bestFit="1" customWidth="1"/>
    <col min="23" max="16384" width="8.81640625" style="17"/>
  </cols>
  <sheetData>
    <row r="1" spans="1:20" x14ac:dyDescent="0.35">
      <c r="B1" s="41" t="s">
        <v>60</v>
      </c>
      <c r="C1" s="41"/>
    </row>
    <row r="2" spans="1:20" x14ac:dyDescent="0.35">
      <c r="D2"/>
      <c r="H2"/>
    </row>
    <row r="3" spans="1:20" ht="14.5" customHeight="1" x14ac:dyDescent="0.35">
      <c r="B3" s="42" t="s">
        <v>3</v>
      </c>
      <c r="C3" s="43"/>
      <c r="D3" s="46" t="s">
        <v>16</v>
      </c>
      <c r="E3" s="53"/>
      <c r="F3" s="53"/>
      <c r="G3" s="47"/>
      <c r="H3" s="46" t="s">
        <v>17</v>
      </c>
      <c r="I3" s="53"/>
      <c r="J3" s="53"/>
      <c r="K3" s="47"/>
      <c r="L3" s="46" t="s">
        <v>18</v>
      </c>
      <c r="M3" s="53"/>
      <c r="N3" s="53"/>
      <c r="O3" s="47"/>
      <c r="P3" s="51" t="s">
        <v>103</v>
      </c>
      <c r="Q3" s="39" t="s">
        <v>82</v>
      </c>
      <c r="R3" s="51" t="s">
        <v>38</v>
      </c>
      <c r="S3" s="51" t="s">
        <v>81</v>
      </c>
      <c r="T3" s="39" t="s">
        <v>82</v>
      </c>
    </row>
    <row r="4" spans="1:20" ht="14.5" customHeight="1" x14ac:dyDescent="0.35">
      <c r="B4" s="44"/>
      <c r="C4" s="45"/>
      <c r="D4" s="1" t="s">
        <v>80</v>
      </c>
      <c r="E4" s="1" t="s">
        <v>102</v>
      </c>
      <c r="F4" s="15" t="s">
        <v>15</v>
      </c>
      <c r="G4" s="15" t="s">
        <v>83</v>
      </c>
      <c r="H4" s="1" t="s">
        <v>80</v>
      </c>
      <c r="I4" s="1" t="s">
        <v>102</v>
      </c>
      <c r="J4" s="15" t="s">
        <v>15</v>
      </c>
      <c r="K4" s="15" t="s">
        <v>83</v>
      </c>
      <c r="L4" s="1" t="s">
        <v>80</v>
      </c>
      <c r="M4" s="1" t="s">
        <v>102</v>
      </c>
      <c r="N4" s="15" t="s">
        <v>15</v>
      </c>
      <c r="O4" s="15" t="s">
        <v>83</v>
      </c>
      <c r="P4" s="51"/>
      <c r="Q4" s="39"/>
      <c r="R4" s="51"/>
      <c r="S4" s="51"/>
      <c r="T4" s="39"/>
    </row>
    <row r="5" spans="1:20" ht="16.5" x14ac:dyDescent="0.35">
      <c r="A5" s="20"/>
      <c r="B5" s="46" t="s">
        <v>1</v>
      </c>
      <c r="C5" s="47"/>
      <c r="D5" s="39">
        <v>400</v>
      </c>
      <c r="E5" s="39"/>
      <c r="F5" s="1"/>
      <c r="G5" s="1"/>
      <c r="H5" s="39">
        <v>400</v>
      </c>
      <c r="I5" s="39"/>
      <c r="J5" s="1"/>
      <c r="K5" s="1"/>
      <c r="L5" s="39">
        <v>400</v>
      </c>
      <c r="M5" s="39"/>
      <c r="N5" s="1"/>
      <c r="O5" s="1"/>
      <c r="P5" s="2"/>
      <c r="Q5" s="2"/>
      <c r="R5" s="2"/>
      <c r="S5" s="2"/>
      <c r="T5" s="2"/>
    </row>
    <row r="6" spans="1:20" x14ac:dyDescent="0.35">
      <c r="A6" s="20"/>
      <c r="B6" s="46" t="s">
        <v>2</v>
      </c>
      <c r="C6" s="47"/>
      <c r="D6" s="7">
        <v>-3.9255</v>
      </c>
      <c r="E6" s="5">
        <f>100*(D7-$D$6)/$D$5</f>
        <v>1.87499999999996E-3</v>
      </c>
      <c r="F6" s="16">
        <v>9696.7999999999993</v>
      </c>
      <c r="G6" s="16"/>
      <c r="H6" s="7">
        <v>-4.2885</v>
      </c>
      <c r="I6" s="5">
        <f>100*(H7-$H$6)/$H$5</f>
        <v>1.8750000000000711E-3</v>
      </c>
      <c r="J6" s="16">
        <v>9672.2999999999993</v>
      </c>
      <c r="K6" s="16"/>
      <c r="L6" s="7">
        <v>-3.9815</v>
      </c>
      <c r="M6" s="5">
        <f>100*(L7-$L$6)/$L$5</f>
        <v>5.8749999999999636E-3</v>
      </c>
      <c r="N6" s="16">
        <v>9539.2000000000007</v>
      </c>
      <c r="O6" s="16"/>
      <c r="P6" s="6">
        <f>IF(ISBLANK(D6),NA(),AVERAGE(E6,I6,M6))</f>
        <v>3.2083333333333317E-3</v>
      </c>
      <c r="Q6" s="6">
        <f>IF(ISBLANK(D6),NA(),_xlfn.STDEV.P(E6,I6,M6))</f>
        <v>1.8856180831641018E-3</v>
      </c>
      <c r="R6" s="24"/>
      <c r="S6" s="2"/>
      <c r="T6" s="2"/>
    </row>
    <row r="7" spans="1:20" ht="15" customHeight="1" x14ac:dyDescent="0.35">
      <c r="A7" s="52" t="s">
        <v>0</v>
      </c>
      <c r="B7" s="1">
        <v>1</v>
      </c>
      <c r="C7" s="4">
        <v>44580</v>
      </c>
      <c r="D7" s="7">
        <v>-3.9180000000000001</v>
      </c>
      <c r="E7" s="3">
        <f>IF(ISBLANK(D7),NA(),100*(D7-$D$7)/$D$5)</f>
        <v>0</v>
      </c>
      <c r="F7" s="16">
        <v>9687.1</v>
      </c>
      <c r="G7" s="3">
        <f>IF(ISBLANK(F7),NA(),100*(F7-$F$7)/$F$7)</f>
        <v>0</v>
      </c>
      <c r="H7" s="7">
        <v>-4.2809999999999997</v>
      </c>
      <c r="I7" s="3">
        <f>IF(ISBLANK(H7),NA(),100*(H7-$H$7)/$H$5)</f>
        <v>0</v>
      </c>
      <c r="J7" s="16">
        <v>9659.7999999999993</v>
      </c>
      <c r="K7" s="3">
        <f>IF(ISBLANK(J7),NA(),100*(J7-$J$7)/$J$7)</f>
        <v>0</v>
      </c>
      <c r="L7" s="7">
        <v>-3.9580000000000002</v>
      </c>
      <c r="M7" s="3">
        <f>100*(L7-$L$7)/$L$5</f>
        <v>0</v>
      </c>
      <c r="N7" s="16">
        <v>9527</v>
      </c>
      <c r="O7" s="3">
        <f>IF(ISBLANK(N7),NA(),100*(N7-$N$7)/$N$7)</f>
        <v>0</v>
      </c>
      <c r="P7" s="23">
        <f>IF(ISBLANK(D7),NA(),AVERAGE(E7,I7,M7))</f>
        <v>0</v>
      </c>
      <c r="Q7" s="8">
        <f t="shared" ref="Q7:Q13" si="0">IF(ISBLANK(D7),NA(),_xlfn.STDEV.P(E7,I7,M7))</f>
        <v>0</v>
      </c>
      <c r="R7" s="8"/>
      <c r="S7" s="23">
        <f>AVERAGE(G7,K7,O7)</f>
        <v>0</v>
      </c>
      <c r="T7" s="9">
        <f>_xlfn.STDEV.P(G7,K7,O7)</f>
        <v>0</v>
      </c>
    </row>
    <row r="8" spans="1:20" x14ac:dyDescent="0.35">
      <c r="A8" s="52"/>
      <c r="B8" s="1">
        <f>IF(ISBLANK(C8),NA(),C8-C$7+1)</f>
        <v>7</v>
      </c>
      <c r="C8" s="4">
        <v>44586</v>
      </c>
      <c r="D8" s="7">
        <v>-3.919</v>
      </c>
      <c r="E8" s="3">
        <f>IF(ISBLANK(D8),NA(),100*(D8-$D$7)/$D$5)</f>
        <v>-2.4999999999997247E-4</v>
      </c>
      <c r="F8" s="16">
        <v>9686.7000000000007</v>
      </c>
      <c r="G8" s="3">
        <f t="shared" ref="G8:G17" si="1">IF(ISBLANK(F8),NA(),100*(F8-$F$7)/$F$7)</f>
        <v>-4.1292027541744818E-3</v>
      </c>
      <c r="H8" s="7">
        <v>-4.2629999999999999</v>
      </c>
      <c r="I8" s="3">
        <f t="shared" ref="I8:I17" si="2">IF(ISBLANK(H8),NA(),100*(H8-$H$7)/$H$5)</f>
        <v>4.4999999999999485E-3</v>
      </c>
      <c r="J8" s="16">
        <v>9665.7000000000007</v>
      </c>
      <c r="K8" s="3">
        <f t="shared" ref="K8:K17" si="3">IF(ISBLANK(J8),NA(),100*(J8-$J$7)/$J$7)</f>
        <v>6.1077869107035922E-2</v>
      </c>
      <c r="L8" s="7">
        <v>-3.9449999999999998</v>
      </c>
      <c r="M8" s="3">
        <f t="shared" ref="M8:M17" si="4">100*(L8-$L$7)/$L$5</f>
        <v>3.2500000000000862E-3</v>
      </c>
      <c r="N8" s="16">
        <v>9543.6</v>
      </c>
      <c r="O8" s="3">
        <f t="shared" ref="O8:O17" si="5">IF(ISBLANK(N8),NA(),100*(N8-$N$7)/$N$7)</f>
        <v>0.17424162905427065</v>
      </c>
      <c r="P8" s="23">
        <f>IF(ISBLANK(D8),NA(),AVERAGE(E8,I8,M8))</f>
        <v>2.5000000000000209E-3</v>
      </c>
      <c r="Q8" s="8">
        <f t="shared" si="0"/>
        <v>2.0103896803024502E-3</v>
      </c>
      <c r="R8" s="8"/>
      <c r="S8" s="23">
        <f t="shared" ref="S8:S14" si="6">AVERAGE(G8,K8,O8)</f>
        <v>7.7063431802377361E-2</v>
      </c>
      <c r="T8" s="9">
        <f t="shared" ref="T8:T14" si="7">_xlfn.STDEV.P(G8,K8,O8)</f>
        <v>7.3691664255075576E-2</v>
      </c>
    </row>
    <row r="9" spans="1:20" x14ac:dyDescent="0.35">
      <c r="A9" s="52"/>
      <c r="B9" s="1">
        <f t="shared" ref="B9:B17" si="8">IF(ISBLANK(C9),NA(),C9-C$7+1)</f>
        <v>29</v>
      </c>
      <c r="C9" s="4">
        <v>44608</v>
      </c>
      <c r="D9" s="7">
        <v>-3.855</v>
      </c>
      <c r="E9" s="3">
        <f t="shared" ref="E9:E17" si="9">IF(ISBLANK(D9),NA(),100*(D9-$D$7)/$D$5)</f>
        <v>1.5750000000000042E-2</v>
      </c>
      <c r="F9" s="16">
        <v>9701.4</v>
      </c>
      <c r="G9" s="3">
        <f t="shared" si="1"/>
        <v>0.14761899846186446</v>
      </c>
      <c r="H9" s="7">
        <v>-4.2350000000000003</v>
      </c>
      <c r="I9" s="3">
        <f t="shared" si="2"/>
        <v>1.1499999999999844E-2</v>
      </c>
      <c r="J9" s="16">
        <v>9678.4</v>
      </c>
      <c r="K9" s="3">
        <f t="shared" si="3"/>
        <v>0.19255057040518817</v>
      </c>
      <c r="L9" s="7">
        <v>-3.9319999999999999</v>
      </c>
      <c r="M9" s="3">
        <f t="shared" si="4"/>
        <v>6.5000000000000613E-3</v>
      </c>
      <c r="N9" s="16">
        <v>9548.1</v>
      </c>
      <c r="O9" s="3">
        <f t="shared" si="5"/>
        <v>0.22147580560512611</v>
      </c>
      <c r="P9" s="23">
        <f t="shared" ref="P7:P13" si="10">IF(ISBLANK(D9),NA(),AVERAGE(E9,I9,M9))</f>
        <v>1.1249999999999982E-2</v>
      </c>
      <c r="Q9" s="8">
        <f t="shared" si="0"/>
        <v>3.7804320740712398E-3</v>
      </c>
      <c r="R9" s="8" t="s">
        <v>39</v>
      </c>
      <c r="S9" s="23">
        <f t="shared" si="6"/>
        <v>0.18721512482405958</v>
      </c>
      <c r="T9" s="9">
        <f t="shared" si="7"/>
        <v>3.0387028208443651E-2</v>
      </c>
    </row>
    <row r="10" spans="1:20" x14ac:dyDescent="0.35">
      <c r="A10" s="52"/>
      <c r="B10" s="1">
        <f t="shared" si="8"/>
        <v>57</v>
      </c>
      <c r="C10" s="4">
        <v>44636</v>
      </c>
      <c r="D10" s="7">
        <v>-3.867</v>
      </c>
      <c r="E10" s="3">
        <f t="shared" si="9"/>
        <v>1.2750000000000039E-2</v>
      </c>
      <c r="F10" s="16">
        <v>9708.6</v>
      </c>
      <c r="G10" s="3">
        <f t="shared" si="1"/>
        <v>0.22194464803708022</v>
      </c>
      <c r="H10" s="7">
        <v>-4.2160000000000002</v>
      </c>
      <c r="I10" s="3">
        <f t="shared" si="2"/>
        <v>1.6249999999999876E-2</v>
      </c>
      <c r="J10" s="16">
        <v>9685.5</v>
      </c>
      <c r="K10" s="3">
        <f t="shared" si="3"/>
        <v>0.26605105695770853</v>
      </c>
      <c r="L10" s="7">
        <v>-3.907</v>
      </c>
      <c r="M10" s="3">
        <f t="shared" si="4"/>
        <v>1.2750000000000039E-2</v>
      </c>
      <c r="N10" s="16">
        <v>9557.5</v>
      </c>
      <c r="O10" s="3">
        <f t="shared" si="5"/>
        <v>0.32014275217802035</v>
      </c>
      <c r="P10" s="23">
        <f t="shared" si="10"/>
        <v>1.3916666666666652E-2</v>
      </c>
      <c r="Q10" s="8">
        <f t="shared" si="0"/>
        <v>1.6499158227685337E-3</v>
      </c>
      <c r="R10" s="8"/>
      <c r="S10" s="23">
        <f t="shared" si="6"/>
        <v>0.26937948572426967</v>
      </c>
      <c r="T10" s="9">
        <f t="shared" si="7"/>
        <v>4.0158234877870153E-2</v>
      </c>
    </row>
    <row r="11" spans="1:20" x14ac:dyDescent="0.35">
      <c r="A11" s="52"/>
      <c r="B11" s="1">
        <f t="shared" si="8"/>
        <v>91</v>
      </c>
      <c r="C11" s="4">
        <v>44670</v>
      </c>
      <c r="D11" s="7">
        <v>-3.8740000000000001</v>
      </c>
      <c r="E11" s="3">
        <f t="shared" si="9"/>
        <v>1.100000000000001E-2</v>
      </c>
      <c r="F11" s="16">
        <v>9713.7999999999993</v>
      </c>
      <c r="G11" s="3">
        <f t="shared" si="1"/>
        <v>0.27562428384138604</v>
      </c>
      <c r="H11" s="7">
        <v>-4.2240000000000002</v>
      </c>
      <c r="I11" s="3">
        <f t="shared" si="2"/>
        <v>1.4249999999999874E-2</v>
      </c>
      <c r="J11" s="16">
        <v>9695.2000000000007</v>
      </c>
      <c r="K11" s="3">
        <f t="shared" si="3"/>
        <v>0.36646721464214022</v>
      </c>
      <c r="L11" s="7">
        <v>-3.9129999999999998</v>
      </c>
      <c r="M11" s="3">
        <f t="shared" si="4"/>
        <v>1.1250000000000093E-2</v>
      </c>
      <c r="N11" s="16">
        <v>9566.1</v>
      </c>
      <c r="O11" s="3">
        <f t="shared" si="5"/>
        <v>0.41041251180854793</v>
      </c>
      <c r="P11" s="23">
        <f t="shared" si="10"/>
        <v>1.2166666666666659E-2</v>
      </c>
      <c r="Q11" s="8">
        <f t="shared" si="0"/>
        <v>1.4766704288890313E-3</v>
      </c>
      <c r="R11" s="8"/>
      <c r="S11" s="23">
        <f t="shared" si="6"/>
        <v>0.35083467009735808</v>
      </c>
      <c r="T11" s="9">
        <f t="shared" si="7"/>
        <v>5.6126339249591616E-2</v>
      </c>
    </row>
    <row r="12" spans="1:20" x14ac:dyDescent="0.35">
      <c r="A12" s="52"/>
      <c r="B12" s="1">
        <f t="shared" si="8"/>
        <v>199</v>
      </c>
      <c r="C12" s="4">
        <v>44778</v>
      </c>
      <c r="D12" s="7">
        <v>-3.8719999999999999</v>
      </c>
      <c r="E12" s="3">
        <f t="shared" si="9"/>
        <v>1.1500000000000066E-2</v>
      </c>
      <c r="F12" s="16">
        <v>9735</v>
      </c>
      <c r="G12" s="3">
        <f t="shared" si="1"/>
        <v>0.49447202981284011</v>
      </c>
      <c r="H12" s="7">
        <v>-4.2220000000000004</v>
      </c>
      <c r="I12" s="3">
        <f t="shared" si="2"/>
        <v>1.4749999999999819E-2</v>
      </c>
      <c r="J12" s="16">
        <v>9715</v>
      </c>
      <c r="K12" s="3">
        <f t="shared" si="3"/>
        <v>0.5714404024928128</v>
      </c>
      <c r="L12" s="7">
        <v>-3.9159999999999999</v>
      </c>
      <c r="M12" s="3">
        <f t="shared" si="4"/>
        <v>1.0500000000000065E-2</v>
      </c>
      <c r="N12" s="16">
        <v>9580</v>
      </c>
      <c r="O12" s="3">
        <f t="shared" si="5"/>
        <v>0.55631363493229768</v>
      </c>
      <c r="P12" s="23">
        <f t="shared" si="10"/>
        <v>1.2249999999999983E-2</v>
      </c>
      <c r="Q12" s="8">
        <f t="shared" si="0"/>
        <v>1.8142950880896569E-3</v>
      </c>
      <c r="R12" s="8"/>
      <c r="S12" s="23">
        <f t="shared" si="6"/>
        <v>0.54074202241265024</v>
      </c>
      <c r="T12" s="9">
        <f t="shared" si="7"/>
        <v>3.32955345914666E-2</v>
      </c>
    </row>
    <row r="13" spans="1:20" x14ac:dyDescent="0.35">
      <c r="A13" s="52"/>
      <c r="B13" s="1">
        <f t="shared" si="8"/>
        <v>373</v>
      </c>
      <c r="C13" s="4">
        <v>44952</v>
      </c>
      <c r="D13" s="7">
        <v>-3.8570000000000002</v>
      </c>
      <c r="E13" s="3">
        <f t="shared" si="9"/>
        <v>1.5249999999999986E-2</v>
      </c>
      <c r="F13" s="16">
        <v>9785</v>
      </c>
      <c r="G13" s="3">
        <f t="shared" si="1"/>
        <v>1.0106223740851197</v>
      </c>
      <c r="H13" s="7">
        <v>-4.21</v>
      </c>
      <c r="I13" s="3">
        <f t="shared" si="2"/>
        <v>1.7749999999999932E-2</v>
      </c>
      <c r="J13" s="16">
        <v>9775</v>
      </c>
      <c r="K13" s="3">
        <f t="shared" si="3"/>
        <v>1.1925712747676012</v>
      </c>
      <c r="L13" s="7">
        <v>-3.9079999999999999</v>
      </c>
      <c r="M13" s="3">
        <f t="shared" si="4"/>
        <v>1.2500000000000067E-2</v>
      </c>
      <c r="N13" s="16">
        <v>9625</v>
      </c>
      <c r="O13" s="3">
        <f t="shared" si="5"/>
        <v>1.0286554004408524</v>
      </c>
      <c r="P13" s="23">
        <f t="shared" si="10"/>
        <v>1.5166666666666662E-2</v>
      </c>
      <c r="Q13" s="8">
        <f t="shared" si="0"/>
        <v>2.1441133883780463E-3</v>
      </c>
      <c r="R13" s="8"/>
      <c r="S13" s="23">
        <f t="shared" si="6"/>
        <v>1.0772830164311911</v>
      </c>
      <c r="T13" s="9">
        <f t="shared" si="7"/>
        <v>8.1852853310351026E-2</v>
      </c>
    </row>
    <row r="14" spans="1:20" x14ac:dyDescent="0.35">
      <c r="A14" s="52"/>
      <c r="B14" s="1">
        <f t="shared" si="8"/>
        <v>464</v>
      </c>
      <c r="C14" s="4">
        <v>45043</v>
      </c>
      <c r="D14" s="37">
        <v>-3.8639999999999999</v>
      </c>
      <c r="E14" s="3">
        <f t="shared" si="9"/>
        <v>1.3500000000000068E-2</v>
      </c>
      <c r="F14" s="16">
        <v>9790</v>
      </c>
      <c r="G14" s="3">
        <f t="shared" si="1"/>
        <v>1.0622374085123476</v>
      </c>
      <c r="H14" s="7">
        <v>-4.2140000000000004</v>
      </c>
      <c r="I14" s="3">
        <f t="shared" si="2"/>
        <v>1.6749999999999821E-2</v>
      </c>
      <c r="J14" s="16">
        <v>9775</v>
      </c>
      <c r="K14" s="3">
        <f t="shared" si="3"/>
        <v>1.1925712747676012</v>
      </c>
      <c r="L14" s="7">
        <v>-3.9119999999999999</v>
      </c>
      <c r="M14" s="3">
        <f t="shared" si="4"/>
        <v>1.1500000000000066E-2</v>
      </c>
      <c r="N14" s="16">
        <v>9630</v>
      </c>
      <c r="O14" s="3">
        <f t="shared" si="5"/>
        <v>1.0811378188306917</v>
      </c>
      <c r="P14" s="23">
        <f t="shared" ref="P14" si="11">IF(ISBLANK(D14),NA(),AVERAGE(E14,I14,M14))</f>
        <v>1.3916666666666652E-2</v>
      </c>
      <c r="Q14" s="8">
        <f t="shared" ref="Q14" si="12">IF(ISBLANK(D14),NA(),_xlfn.STDEV.P(E14,I14,M14))</f>
        <v>2.1634591642910876E-3</v>
      </c>
      <c r="R14" s="8"/>
      <c r="S14" s="23">
        <f t="shared" si="6"/>
        <v>1.1119821673702135</v>
      </c>
      <c r="T14" s="9">
        <f t="shared" si="7"/>
        <v>5.7505127602566632E-2</v>
      </c>
    </row>
    <row r="15" spans="1:20" x14ac:dyDescent="0.35">
      <c r="A15" s="52"/>
      <c r="B15" s="1">
        <f t="shared" si="8"/>
        <v>562</v>
      </c>
      <c r="C15" s="4">
        <v>45141</v>
      </c>
      <c r="D15" s="37">
        <v>-3.8610000000000002</v>
      </c>
      <c r="E15" s="3">
        <f t="shared" si="9"/>
        <v>1.4249999999999985E-2</v>
      </c>
      <c r="F15" s="16">
        <v>9800</v>
      </c>
      <c r="G15" s="3">
        <f t="shared" si="1"/>
        <v>1.1654674773668037</v>
      </c>
      <c r="H15" s="7">
        <v>-4.2119999999999997</v>
      </c>
      <c r="I15" s="3">
        <f t="shared" si="2"/>
        <v>1.7249999999999988E-2</v>
      </c>
      <c r="J15" s="16">
        <v>9780</v>
      </c>
      <c r="K15" s="3">
        <f t="shared" si="3"/>
        <v>1.2443321807905001</v>
      </c>
      <c r="L15" s="7"/>
      <c r="M15" s="3">
        <f t="shared" si="4"/>
        <v>0.98950000000000005</v>
      </c>
      <c r="N15" s="16"/>
      <c r="O15" s="3" t="e">
        <f t="shared" si="5"/>
        <v>#N/A</v>
      </c>
      <c r="P15" s="23">
        <f>IF(ISBLANK(D15),NA(),AVERAGE(E15,I15))</f>
        <v>1.5749999999999986E-2</v>
      </c>
      <c r="Q15" s="8">
        <f>IF(ISBLANK(D15),NA(),_xlfn.STDEV.P(E15,I15))</f>
        <v>1.5000000000000013E-3</v>
      </c>
      <c r="R15" s="8"/>
      <c r="S15" s="23">
        <f>AVERAGE(G15,K15)</f>
        <v>1.2048998290786519</v>
      </c>
      <c r="T15" s="9">
        <f>_xlfn.STDEV.P(G15,K15)</f>
        <v>3.9432351711848224E-2</v>
      </c>
    </row>
    <row r="16" spans="1:20" x14ac:dyDescent="0.35">
      <c r="A16" s="52"/>
      <c r="B16" s="1">
        <f>IF(ISBLANK(C16),NA(),C16-C$7+1)</f>
        <v>730</v>
      </c>
      <c r="C16" s="4">
        <v>45309</v>
      </c>
      <c r="D16" s="37">
        <v>-3.86</v>
      </c>
      <c r="E16" s="3">
        <f t="shared" si="9"/>
        <v>1.4500000000000068E-2</v>
      </c>
      <c r="F16" s="16">
        <v>9795</v>
      </c>
      <c r="G16" s="3">
        <f t="shared" si="1"/>
        <v>1.1138524429395757</v>
      </c>
      <c r="H16" s="7">
        <v>-4.2119999999999997</v>
      </c>
      <c r="I16" s="3">
        <f t="shared" si="2"/>
        <v>1.7249999999999988E-2</v>
      </c>
      <c r="J16" s="16">
        <v>9775</v>
      </c>
      <c r="K16" s="3">
        <f t="shared" si="3"/>
        <v>1.1925712747676012</v>
      </c>
      <c r="L16" s="7"/>
      <c r="M16" s="3">
        <f t="shared" si="4"/>
        <v>0.98950000000000005</v>
      </c>
      <c r="N16" s="16"/>
      <c r="O16" s="3" t="e">
        <f t="shared" si="5"/>
        <v>#N/A</v>
      </c>
      <c r="P16" s="23">
        <f t="shared" ref="P16:P17" si="13">IF(ISBLANK(D16),NA(),AVERAGE(E16,I16))</f>
        <v>1.5875000000000028E-2</v>
      </c>
      <c r="Q16" s="8">
        <f t="shared" ref="Q16:Q17" si="14">IF(ISBLANK(D16),NA(),_xlfn.STDEV.P(E16,I16))</f>
        <v>1.3749999999999596E-3</v>
      </c>
      <c r="R16" s="8"/>
      <c r="S16" s="23">
        <f t="shared" ref="S16:S17" si="15">AVERAGE(G16,K16)</f>
        <v>1.1532118588535885</v>
      </c>
      <c r="T16" s="9">
        <f t="shared" ref="T16:T17" si="16">_xlfn.STDEV.P(G16,K16)</f>
        <v>3.9359415914012708E-2</v>
      </c>
    </row>
    <row r="17" spans="1:22" x14ac:dyDescent="0.35">
      <c r="A17" s="52"/>
      <c r="B17" s="1" t="e">
        <f t="shared" si="8"/>
        <v>#N/A</v>
      </c>
      <c r="C17" s="4"/>
      <c r="D17" s="7"/>
      <c r="E17" s="3" t="e">
        <f t="shared" si="9"/>
        <v>#N/A</v>
      </c>
      <c r="F17" s="16"/>
      <c r="G17" s="3" t="e">
        <f t="shared" si="1"/>
        <v>#N/A</v>
      </c>
      <c r="H17" s="7"/>
      <c r="I17" s="3" t="e">
        <f t="shared" si="2"/>
        <v>#N/A</v>
      </c>
      <c r="J17" s="16"/>
      <c r="K17" s="3" t="e">
        <f t="shared" si="3"/>
        <v>#N/A</v>
      </c>
      <c r="L17" s="7"/>
      <c r="M17" s="3">
        <f t="shared" si="4"/>
        <v>0.98950000000000005</v>
      </c>
      <c r="N17" s="16"/>
      <c r="O17" s="3" t="e">
        <f t="shared" si="5"/>
        <v>#N/A</v>
      </c>
      <c r="P17" s="23" t="e">
        <f t="shared" si="13"/>
        <v>#N/A</v>
      </c>
      <c r="Q17" s="8" t="e">
        <f t="shared" si="14"/>
        <v>#N/A</v>
      </c>
      <c r="R17" s="8"/>
      <c r="S17" s="23" t="e">
        <f t="shared" si="15"/>
        <v>#N/A</v>
      </c>
      <c r="T17" s="9" t="e">
        <f t="shared" si="16"/>
        <v>#N/A</v>
      </c>
    </row>
    <row r="19" spans="1:22" x14ac:dyDescent="0.35">
      <c r="B19" s="21"/>
      <c r="S19"/>
      <c r="T19"/>
      <c r="U19"/>
    </row>
    <row r="20" spans="1:22" x14ac:dyDescent="0.35">
      <c r="S20"/>
      <c r="T20"/>
      <c r="U20"/>
    </row>
    <row r="21" spans="1:22" x14ac:dyDescent="0.35">
      <c r="C21" s="21"/>
    </row>
    <row r="22" spans="1:22" x14ac:dyDescent="0.35">
      <c r="C22" s="40" t="s">
        <v>10</v>
      </c>
      <c r="D22" s="13" t="s">
        <v>9</v>
      </c>
      <c r="E22" s="13" t="s">
        <v>11</v>
      </c>
      <c r="F22" s="48" t="s">
        <v>14</v>
      </c>
      <c r="G22" s="50"/>
      <c r="H22" s="48" t="s">
        <v>55</v>
      </c>
      <c r="I22" s="49"/>
      <c r="J22" s="40" t="s">
        <v>63</v>
      </c>
      <c r="K22" s="40"/>
      <c r="L22" s="40"/>
      <c r="M22" s="40"/>
      <c r="N22" s="40"/>
      <c r="O22" s="40"/>
      <c r="P22" s="40"/>
      <c r="Q22" s="40"/>
      <c r="R22" s="40"/>
      <c r="S22" s="40"/>
      <c r="T22" s="40"/>
      <c r="U22"/>
      <c r="V22"/>
    </row>
    <row r="23" spans="1:22" ht="16.5" x14ac:dyDescent="0.35">
      <c r="C23" s="40"/>
      <c r="D23" s="13"/>
      <c r="E23" s="13"/>
      <c r="F23" s="14" t="s">
        <v>12</v>
      </c>
      <c r="G23" s="14" t="s">
        <v>13</v>
      </c>
      <c r="H23" s="14" t="s">
        <v>51</v>
      </c>
      <c r="I23" s="14" t="s">
        <v>53</v>
      </c>
      <c r="J23" s="14" t="s">
        <v>65</v>
      </c>
      <c r="K23" s="14" t="s">
        <v>67</v>
      </c>
      <c r="L23" s="14" t="s">
        <v>69</v>
      </c>
      <c r="M23" s="14" t="s">
        <v>71</v>
      </c>
      <c r="N23" s="14" t="s">
        <v>73</v>
      </c>
      <c r="O23" s="14" t="s">
        <v>64</v>
      </c>
      <c r="P23" s="14" t="s">
        <v>66</v>
      </c>
      <c r="Q23" s="14" t="s">
        <v>91</v>
      </c>
      <c r="R23" s="14" t="s">
        <v>75</v>
      </c>
      <c r="S23" s="14" t="s">
        <v>77</v>
      </c>
      <c r="T23" s="14" t="s">
        <v>79</v>
      </c>
      <c r="U23"/>
      <c r="V23"/>
    </row>
    <row r="24" spans="1:22" x14ac:dyDescent="0.35">
      <c r="B24" s="1">
        <f>IF(ISBLANK(D24),NA(),C24-$C$24)</f>
        <v>0</v>
      </c>
      <c r="C24" s="4">
        <f>C7-1</f>
        <v>44579</v>
      </c>
      <c r="D24" s="16">
        <v>25</v>
      </c>
      <c r="E24" s="16">
        <f>D24/0.0129</f>
        <v>1937.984496124031</v>
      </c>
      <c r="F24" s="1">
        <v>0</v>
      </c>
      <c r="G24" s="1">
        <v>0</v>
      </c>
      <c r="H24" s="16">
        <f>IF(ISBLANK(F24),NA(),F24*62/(23*2)*$E24/1000)</f>
        <v>0</v>
      </c>
      <c r="I24" s="16">
        <f t="shared" ref="I24:I33" si="17">IF(ISBLANK(G24),NA(),G24*62/(23*2)*$E24/1000)</f>
        <v>0</v>
      </c>
      <c r="J24" s="16">
        <f>100*((H24/1000)/INDEX(Alkalis!$K$3:$K$12,MATCH($B$1,Alkalis!$A$3:$A$12,0)))</f>
        <v>0</v>
      </c>
      <c r="K24" s="16">
        <f>100*((I24/1000)/INDEX(Alkalis!$K$3:$K$12,MATCH($B$1,Alkalis!$A$3:$A$12,0)))</f>
        <v>0</v>
      </c>
      <c r="L24" s="7">
        <f>100*(H24/1000)/(3*440*0.1*0.1*0.4*1000)</f>
        <v>0</v>
      </c>
      <c r="M24" s="7">
        <f>100*(I24/1000)/(3*440*0.1*0.1*0.4*1000)</f>
        <v>0</v>
      </c>
      <c r="N24" s="23">
        <f t="shared" ref="N24:N30" si="18">L24+0.658*M24</f>
        <v>0</v>
      </c>
      <c r="O24" s="9">
        <f>100*L24/INDEX(Alkalis!G$3:G$12,MATCH($B$1,Alkalis!$A$3:$A$12,0))</f>
        <v>0</v>
      </c>
      <c r="P24" s="9">
        <f>100*M24/INDEX(Alkalis!H$3:H$12,MATCH($B$1,Alkalis!$A$3:$A$12,0))</f>
        <v>0</v>
      </c>
      <c r="Q24" s="23">
        <f>100*N24/INDEX(Alkalis!I$3:I$12,MATCH($B$1,Alkalis!$A$3:$A$12,0))</f>
        <v>0</v>
      </c>
      <c r="R24" s="9">
        <f>440*L24/100</f>
        <v>0</v>
      </c>
      <c r="S24" s="9">
        <f t="shared" ref="S24:S30" si="19">440*M24/100</f>
        <v>0</v>
      </c>
      <c r="T24" s="23">
        <f t="shared" ref="T24:T30" si="20">440*N24/100</f>
        <v>0</v>
      </c>
      <c r="U24"/>
      <c r="V24"/>
    </row>
    <row r="25" spans="1:22" x14ac:dyDescent="0.35">
      <c r="B25" s="1">
        <f t="shared" ref="B25:B33" si="21">IF(ISBLANK(D25),NA(),C25-$C$24)</f>
        <v>29</v>
      </c>
      <c r="C25" s="4">
        <f t="shared" ref="C25:C33" si="22">C9</f>
        <v>44608</v>
      </c>
      <c r="D25" s="16">
        <v>23</v>
      </c>
      <c r="E25" s="16">
        <f>D25/0.0129</f>
        <v>1782.9457364341085</v>
      </c>
      <c r="F25" s="1">
        <v>5.6476363856592773</v>
      </c>
      <c r="G25" s="1">
        <v>4.2848061609933961</v>
      </c>
      <c r="H25" s="16">
        <f t="shared" ref="H25:H33" si="23">IF(ISBLANK(F25),NA(),F25*62/(23*2)*$E25/1000)</f>
        <v>13.571839376390512</v>
      </c>
      <c r="I25" s="16">
        <f t="shared" si="17"/>
        <v>10.296821007038394</v>
      </c>
      <c r="J25" s="16">
        <f>100*((H25/1000)/INDEX(Alkalis!$K$3:$K$12,MATCH($B$1,Alkalis!$A$3:$A$12,0)))</f>
        <v>7.7891640130799536E-2</v>
      </c>
      <c r="K25" s="16">
        <f>100*((I25/1000)/INDEX(Alkalis!$K$3:$K$12,MATCH($B$1,Alkalis!$A$3:$A$12,0)))</f>
        <v>5.909562102294761E-2</v>
      </c>
      <c r="L25" s="7">
        <f t="shared" ref="L25:L29" si="24">100*(H25/1000)/(3*440*0.1*0.1*0.4*1000)</f>
        <v>2.5704241243163845E-4</v>
      </c>
      <c r="M25" s="7">
        <f t="shared" ref="M25:M29" si="25">100*(I25/1000)/(3*440*0.1*0.1*0.4*1000)</f>
        <v>1.9501554937572711E-4</v>
      </c>
      <c r="N25" s="23">
        <f t="shared" si="18"/>
        <v>3.8536264392086692E-4</v>
      </c>
      <c r="O25" s="9">
        <f>100*L25/INDEX(Alkalis!G$3:G$12,MATCH($B$1,Alkalis!$A$3:$A$12,0))</f>
        <v>7.7891640130799536E-2</v>
      </c>
      <c r="P25" s="9">
        <f>100*M25/INDEX(Alkalis!H$3:H$12,MATCH($B$1,Alkalis!$A$3:$A$12,0))</f>
        <v>5.1319881414665029E-2</v>
      </c>
      <c r="Q25" s="23">
        <f>100*N25/INDEX(Alkalis!I$3:I$12,MATCH($B$1,Alkalis!$A$3:$A$12,0))</f>
        <v>6.6437253279233638E-2</v>
      </c>
      <c r="R25" s="9">
        <f t="shared" ref="R25:R30" si="26">440*L25/100</f>
        <v>1.1309866146992093E-3</v>
      </c>
      <c r="S25" s="9">
        <f t="shared" si="19"/>
        <v>8.5806841725319925E-4</v>
      </c>
      <c r="T25" s="23">
        <f t="shared" si="20"/>
        <v>1.6955956332518143E-3</v>
      </c>
      <c r="U25"/>
      <c r="V25"/>
    </row>
    <row r="26" spans="1:22" x14ac:dyDescent="0.35">
      <c r="B26" s="1">
        <f t="shared" si="21"/>
        <v>57</v>
      </c>
      <c r="C26" s="4">
        <f t="shared" si="22"/>
        <v>44636</v>
      </c>
      <c r="D26" s="16">
        <v>21.4</v>
      </c>
      <c r="E26" s="16">
        <f t="shared" ref="E26:E33" si="27">D26/0.0129</f>
        <v>1658.9147286821703</v>
      </c>
      <c r="F26" s="1">
        <v>9.178239221716769</v>
      </c>
      <c r="G26" s="1">
        <v>6.0745058157342768</v>
      </c>
      <c r="H26" s="16">
        <f t="shared" si="23"/>
        <v>20.521887090282792</v>
      </c>
      <c r="I26" s="16">
        <f t="shared" si="17"/>
        <v>13.582160964469562</v>
      </c>
      <c r="J26" s="16">
        <f>100*((H26/1000)/INDEX(Alkalis!$K$3:$K$12,MATCH($B$1,Alkalis!$A$3:$A$12,0)))</f>
        <v>0.11777942544928138</v>
      </c>
      <c r="K26" s="16">
        <f>100*((I26/1000)/INDEX(Alkalis!$K$3:$K$12,MATCH($B$1,Alkalis!$A$3:$A$12,0)))</f>
        <v>7.7950877895256884E-2</v>
      </c>
      <c r="L26" s="7">
        <f t="shared" si="24"/>
        <v>3.8867210398262851E-4</v>
      </c>
      <c r="M26" s="7">
        <f t="shared" si="25"/>
        <v>2.5723789705434775E-4</v>
      </c>
      <c r="N26" s="23">
        <f t="shared" si="18"/>
        <v>5.5793464024438935E-4</v>
      </c>
      <c r="O26" s="9">
        <f>100*L26/INDEX(Alkalis!G$3:G$12,MATCH($B$1,Alkalis!$A$3:$A$12,0))</f>
        <v>0.11777942544928137</v>
      </c>
      <c r="P26" s="9">
        <f>100*M26/INDEX(Alkalis!H$3:H$12,MATCH($B$1,Alkalis!$A$3:$A$12,0))</f>
        <v>6.769418343535466E-2</v>
      </c>
      <c r="Q26" s="23">
        <f>100*N26/INDEX(Alkalis!I$3:I$12,MATCH($B$1,Alkalis!$A$3:$A$12,0))</f>
        <v>9.6188993904625417E-2</v>
      </c>
      <c r="R26" s="9">
        <f t="shared" si="26"/>
        <v>1.7101572575235655E-3</v>
      </c>
      <c r="S26" s="9">
        <f t="shared" si="19"/>
        <v>1.1318467470391301E-3</v>
      </c>
      <c r="T26" s="23">
        <f t="shared" si="20"/>
        <v>2.4549124170753132E-3</v>
      </c>
      <c r="U26"/>
      <c r="V26"/>
    </row>
    <row r="27" spans="1:22" x14ac:dyDescent="0.35">
      <c r="B27" s="1">
        <f t="shared" si="21"/>
        <v>91</v>
      </c>
      <c r="C27" s="4">
        <f t="shared" si="22"/>
        <v>44670</v>
      </c>
      <c r="D27" s="16">
        <v>24</v>
      </c>
      <c r="E27" s="16">
        <f t="shared" si="27"/>
        <v>1860.4651162790697</v>
      </c>
      <c r="F27" s="1">
        <v>12.644862351774618</v>
      </c>
      <c r="G27" s="1">
        <v>8.2823295071727419</v>
      </c>
      <c r="H27" s="16">
        <f t="shared" si="23"/>
        <v>31.70804715106274</v>
      </c>
      <c r="I27" s="16">
        <f t="shared" si="17"/>
        <v>20.768632131231954</v>
      </c>
      <c r="J27" s="16">
        <f>100*((H27/1000)/INDEX(Alkalis!$K$3:$K$12,MATCH($B$1,Alkalis!$A$3:$A$12,0)))</f>
        <v>0.18197915031601661</v>
      </c>
      <c r="K27" s="16">
        <f>100*((I27/1000)/INDEX(Alkalis!$K$3:$K$12,MATCH($B$1,Alkalis!$A$3:$A$12,0)))</f>
        <v>0.11919554712598686</v>
      </c>
      <c r="L27" s="7">
        <f t="shared" si="24"/>
        <v>6.0053119604285487E-4</v>
      </c>
      <c r="M27" s="7">
        <f t="shared" si="25"/>
        <v>3.9334530551575665E-4</v>
      </c>
      <c r="N27" s="23">
        <f t="shared" si="18"/>
        <v>8.5935240707222279E-4</v>
      </c>
      <c r="O27" s="9">
        <f>100*L27/INDEX(Alkalis!G$3:G$12,MATCH($B$1,Alkalis!$A$3:$A$12,0))</f>
        <v>0.18197915031601661</v>
      </c>
      <c r="P27" s="9">
        <f>100*M27/INDEX(Alkalis!H$3:H$12,MATCH($B$1,Alkalis!$A$3:$A$12,0))</f>
        <v>0.10351192250414649</v>
      </c>
      <c r="Q27" s="23">
        <f>100*N27/INDEX(Alkalis!I$3:I$12,MATCH($B$1,Alkalis!$A$3:$A$12,0))</f>
        <v>0.14815399059930739</v>
      </c>
      <c r="R27" s="9">
        <f t="shared" si="26"/>
        <v>2.6423372625885618E-3</v>
      </c>
      <c r="S27" s="9">
        <f t="shared" si="19"/>
        <v>1.7307193442693291E-3</v>
      </c>
      <c r="T27" s="23">
        <f t="shared" si="20"/>
        <v>3.7811505911177802E-3</v>
      </c>
      <c r="U27"/>
      <c r="V27"/>
    </row>
    <row r="28" spans="1:22" x14ac:dyDescent="0.35">
      <c r="B28" s="1">
        <f t="shared" si="21"/>
        <v>199</v>
      </c>
      <c r="C28" s="4">
        <f t="shared" si="22"/>
        <v>44778</v>
      </c>
      <c r="D28" s="16">
        <v>28.5</v>
      </c>
      <c r="E28" s="16">
        <f t="shared" si="27"/>
        <v>2209.3023255813955</v>
      </c>
      <c r="F28" s="1">
        <v>59.18325721779739</v>
      </c>
      <c r="G28" s="1">
        <v>34.485825802817494</v>
      </c>
      <c r="H28" s="16">
        <f t="shared" si="23"/>
        <v>176.23325834824402</v>
      </c>
      <c r="I28" s="16">
        <f>IF(ISBLANK(G28),NA(),G28*62/(23*2)*$E28/1000)</f>
        <v>102.69035084863249</v>
      </c>
      <c r="J28" s="16">
        <f>100*((H28/1000)/INDEX(Alkalis!$K$3:$K$12,MATCH($B$1,Alkalis!$A$3:$A$12,0)))</f>
        <v>1.0114397288122361</v>
      </c>
      <c r="K28" s="16">
        <f>100*((I28/1000)/INDEX(Alkalis!$K$3:$K$12,MATCH($B$1,Alkalis!$A$3:$A$12,0)))</f>
        <v>0.58936151772631129</v>
      </c>
      <c r="L28" s="7">
        <f t="shared" si="24"/>
        <v>3.3377511050803788E-3</v>
      </c>
      <c r="M28" s="7">
        <f t="shared" si="25"/>
        <v>1.9448930084968272E-3</v>
      </c>
      <c r="N28" s="23">
        <f t="shared" si="18"/>
        <v>4.6174907046712911E-3</v>
      </c>
      <c r="O28" s="9">
        <f>100*L28/INDEX(Alkalis!G$3:G$12,MATCH($B$1,Alkalis!$A$3:$A$12,0))</f>
        <v>1.0114397288122359</v>
      </c>
      <c r="P28" s="9">
        <f>100*M28/INDEX(Alkalis!H$3:H$12,MATCH($B$1,Alkalis!$A$3:$A$12,0))</f>
        <v>0.51181394960442816</v>
      </c>
      <c r="Q28" s="23">
        <f>100*N28/INDEX(Alkalis!I$3:I$12,MATCH($B$1,Alkalis!$A$3:$A$12,0))</f>
        <v>0.79606418603394424</v>
      </c>
      <c r="R28" s="9">
        <f t="shared" si="26"/>
        <v>1.4686104862353666E-2</v>
      </c>
      <c r="S28" s="9">
        <f t="shared" si="19"/>
        <v>8.5575292373860409E-3</v>
      </c>
      <c r="T28" s="23">
        <f t="shared" si="20"/>
        <v>2.0316959100553679E-2</v>
      </c>
      <c r="U28"/>
      <c r="V28"/>
    </row>
    <row r="29" spans="1:22" x14ac:dyDescent="0.35">
      <c r="B29" s="1">
        <f t="shared" si="21"/>
        <v>373</v>
      </c>
      <c r="C29" s="4">
        <f t="shared" si="22"/>
        <v>44952</v>
      </c>
      <c r="D29" s="16">
        <v>18.8</v>
      </c>
      <c r="E29" s="16">
        <f t="shared" si="27"/>
        <v>1457.3643410852715</v>
      </c>
      <c r="F29" s="1">
        <v>223.88076874884476</v>
      </c>
      <c r="G29" s="1">
        <v>95.086472181501236</v>
      </c>
      <c r="H29" s="16">
        <f t="shared" si="23"/>
        <v>439.7631008656108</v>
      </c>
      <c r="I29" s="16">
        <f>IF(ISBLANK(G29),NA(),G29*62/(23*2)*$E29/1000)</f>
        <v>186.77585435584399</v>
      </c>
      <c r="J29" s="16">
        <f>100*((H29/1000)/INDEX(Alkalis!$K$3:$K$12,MATCH($B$1,Alkalis!$A$3:$A$12,0)))</f>
        <v>2.5238929113040101</v>
      </c>
      <c r="K29" s="16">
        <f>100*((I29/1000)/INDEX(Alkalis!$K$3:$K$12,MATCH($B$1,Alkalis!$A$3:$A$12,0)))</f>
        <v>1.0719459042461199</v>
      </c>
      <c r="L29" s="7">
        <f t="shared" si="24"/>
        <v>8.3288466073032329E-3</v>
      </c>
      <c r="M29" s="7">
        <f t="shared" si="25"/>
        <v>3.537421484012196E-3</v>
      </c>
      <c r="N29" s="23">
        <f t="shared" si="18"/>
        <v>1.0656469943783258E-2</v>
      </c>
      <c r="O29" s="9">
        <f>100*L29/INDEX(Alkalis!G$3:G$12,MATCH($B$1,Alkalis!$A$3:$A$12,0))</f>
        <v>2.5238929113040101</v>
      </c>
      <c r="P29" s="9">
        <f>100*M29/INDEX(Alkalis!H$3:H$12,MATCH($B$1,Alkalis!$A$3:$A$12,0))</f>
        <v>0.93090039052952522</v>
      </c>
      <c r="Q29" s="23">
        <f>100*N29/INDEX(Alkalis!I$3:I$12,MATCH($B$1,Alkalis!$A$3:$A$12,0))</f>
        <v>1.8371957009487718</v>
      </c>
      <c r="R29" s="9">
        <f t="shared" si="26"/>
        <v>3.6646925072134226E-2</v>
      </c>
      <c r="S29" s="9">
        <f t="shared" si="19"/>
        <v>1.5564654529653664E-2</v>
      </c>
      <c r="T29" s="23">
        <f t="shared" si="20"/>
        <v>4.6888467752646337E-2</v>
      </c>
      <c r="U29"/>
      <c r="V29"/>
    </row>
    <row r="30" spans="1:22" x14ac:dyDescent="0.35">
      <c r="B30" s="1">
        <f t="shared" si="21"/>
        <v>464</v>
      </c>
      <c r="C30" s="4">
        <f t="shared" si="22"/>
        <v>45043</v>
      </c>
      <c r="D30" s="16">
        <v>23.3</v>
      </c>
      <c r="E30" s="16">
        <f t="shared" si="27"/>
        <v>1806.2015503875969</v>
      </c>
      <c r="F30" s="1">
        <f>10*34.9947454002372</f>
        <v>349.94745400237201</v>
      </c>
      <c r="G30" s="1">
        <f>10*15.0620492604783</f>
        <v>150.62049260478301</v>
      </c>
      <c r="H30" s="16">
        <f t="shared" si="23"/>
        <v>851.92802839876413</v>
      </c>
      <c r="I30" s="16">
        <f t="shared" si="17"/>
        <v>366.67739065869489</v>
      </c>
      <c r="J30" s="16">
        <f>100*((H30/1000)/INDEX(Alkalis!$K$3:$K$12,MATCH($B$1,Alkalis!$A$3:$A$12,0)))</f>
        <v>4.8893941023804182</v>
      </c>
      <c r="K30" s="16">
        <f>100*((I30/1000)/INDEX(Alkalis!$K$3:$K$12,MATCH($B$1,Alkalis!$A$3:$A$12,0)))</f>
        <v>2.1044386516224449</v>
      </c>
      <c r="L30" s="7">
        <f>L29+100*((H30-H29)/1000)/(2*440*0.1*0.1*0.4*1000)</f>
        <v>2.0038077503131448E-2</v>
      </c>
      <c r="M30" s="7">
        <f>M29+100*((I30-I29)/1000)/(2*440*0.1*0.1*0.4*1000)</f>
        <v>8.6482605835250057E-3</v>
      </c>
      <c r="N30" s="23">
        <f t="shared" si="18"/>
        <v>2.5728632967090902E-2</v>
      </c>
      <c r="O30" s="9">
        <f>100*L30/INDEX(Alkalis!G$3:G$12,MATCH($B$1,Alkalis!$A$3:$A$12,0))</f>
        <v>6.0721446979186195</v>
      </c>
      <c r="P30" s="9">
        <f>100*M30/INDEX(Alkalis!H$3:H$12,MATCH($B$1,Alkalis!$A$3:$A$12,0))</f>
        <v>2.2758580482960542</v>
      </c>
      <c r="Q30" s="23">
        <f>100*N30/INDEX(Alkalis!I$3:I$12,MATCH($B$1,Alkalis!$A$3:$A$12,0))</f>
        <v>4.4356652932713079</v>
      </c>
      <c r="R30" s="9">
        <f t="shared" si="26"/>
        <v>8.8167541013778369E-2</v>
      </c>
      <c r="S30" s="9">
        <f t="shared" si="19"/>
        <v>3.8052346567510026E-2</v>
      </c>
      <c r="T30" s="23">
        <f t="shared" si="20"/>
        <v>0.11320598505519996</v>
      </c>
      <c r="U30"/>
      <c r="V30"/>
    </row>
    <row r="31" spans="1:22" x14ac:dyDescent="0.35">
      <c r="B31" s="1">
        <f t="shared" si="21"/>
        <v>562</v>
      </c>
      <c r="C31" s="4">
        <f t="shared" si="22"/>
        <v>45141</v>
      </c>
      <c r="D31" s="16">
        <v>20.3</v>
      </c>
      <c r="E31" s="16">
        <f t="shared" si="27"/>
        <v>1573.6434108527133</v>
      </c>
      <c r="F31" s="1">
        <f>10*45.9879723148044</f>
        <v>459.87972314804404</v>
      </c>
      <c r="G31" s="1">
        <f>10*19.1897022371759</f>
        <v>191.89702237175902</v>
      </c>
      <c r="H31" s="16">
        <f t="shared" si="23"/>
        <v>975.403807809451</v>
      </c>
      <c r="I31" s="16">
        <f t="shared" si="17"/>
        <v>407.01313171064362</v>
      </c>
      <c r="J31" s="16">
        <f>100*((H31/1000)/INDEX(Alkalis!$K$3:$K$12,MATCH($B$1,Alkalis!$A$3:$A$12,0)))</f>
        <v>5.5980475654812381</v>
      </c>
      <c r="K31" s="16">
        <f>100*((I31/1000)/INDEX(Alkalis!$K$3:$K$12,MATCH($B$1,Alkalis!$A$3:$A$12,0)))</f>
        <v>2.3359339515073669</v>
      </c>
      <c r="L31" s="7">
        <f>L30+100*((H31-H30)/1000)/(2*440*0.1*0.1*0.4*1000)</f>
        <v>2.3545912145480505E-2</v>
      </c>
      <c r="M31" s="7">
        <f t="shared" ref="M31:M33" si="28">M30+100*((I31-I30)/1000)/(2*440*0.1*0.1*0.4*1000)</f>
        <v>9.7941623179553673E-3</v>
      </c>
      <c r="N31" s="23">
        <f t="shared" ref="N31:N33" si="29">L31+0.658*M31</f>
        <v>2.9990470950695139E-2</v>
      </c>
      <c r="O31" s="9">
        <f>100*L31/INDEX(Alkalis!G$3:G$12,MATCH($B$1,Alkalis!$A$3:$A$12,0))</f>
        <v>7.1351248925698494</v>
      </c>
      <c r="P31" s="9">
        <f>100*M31/INDEX(Alkalis!H$3:H$12,MATCH($B$1,Alkalis!$A$3:$A$12,0))</f>
        <v>2.5774111363040442</v>
      </c>
      <c r="Q31" s="23">
        <f>100*N31/INDEX(Alkalis!I$3:I$12,MATCH($B$1,Alkalis!$A$3:$A$12,0))</f>
        <v>5.1704142732734182</v>
      </c>
      <c r="R31" s="9">
        <f t="shared" ref="R31:R33" si="30">440*L31/100</f>
        <v>0.10360201344011422</v>
      </c>
      <c r="S31" s="9">
        <f t="shared" ref="S31:S33" si="31">440*M31/100</f>
        <v>4.3094314199003614E-2</v>
      </c>
      <c r="T31" s="23">
        <f t="shared" ref="T31:T33" si="32">440*N31/100</f>
        <v>0.13195807218305861</v>
      </c>
      <c r="U31"/>
      <c r="V31"/>
    </row>
    <row r="32" spans="1:22" x14ac:dyDescent="0.35">
      <c r="B32" s="1">
        <f t="shared" si="21"/>
        <v>730</v>
      </c>
      <c r="C32" s="4">
        <f t="shared" si="22"/>
        <v>45309</v>
      </c>
      <c r="D32" s="16">
        <v>26</v>
      </c>
      <c r="E32" s="16">
        <f t="shared" si="27"/>
        <v>2015.5038759689921</v>
      </c>
      <c r="F32" s="1">
        <f>10*70.0992242597664</f>
        <v>700.99224259766402</v>
      </c>
      <c r="G32" s="1">
        <f>10*31.5344136508099</f>
        <v>315.34413650809898</v>
      </c>
      <c r="H32" s="16">
        <f t="shared" si="23"/>
        <v>1904.2795670162359</v>
      </c>
      <c r="I32" s="16">
        <f t="shared" si="17"/>
        <v>856.64770483831398</v>
      </c>
      <c r="J32" s="16">
        <f>100*((H32/1000)/INDEX(Alkalis!$K$3:$K$12,MATCH($B$1,Alkalis!$A$3:$A$12,0)))</f>
        <v>10.929060875896667</v>
      </c>
      <c r="K32" s="16">
        <f>100*((I32/1000)/INDEX(Alkalis!$K$3:$K$12,MATCH($B$1,Alkalis!$A$3:$A$12,0)))</f>
        <v>4.9164813179425728</v>
      </c>
      <c r="L32" s="7">
        <f t="shared" ref="L32:L33" si="33">L31+100*((H32-H31)/1000)/(2*440*0.1*0.1*0.4*1000)</f>
        <v>4.993442803203689E-2</v>
      </c>
      <c r="M32" s="7">
        <f t="shared" si="28"/>
        <v>2.2567871781809634E-2</v>
      </c>
      <c r="N32" s="23">
        <f t="shared" si="29"/>
        <v>6.4784087664467624E-2</v>
      </c>
      <c r="O32" s="9">
        <f>100*L32/INDEX(Alkalis!G$3:G$12,MATCH($B$1,Alkalis!$A$3:$A$12,0))</f>
        <v>15.131644858192997</v>
      </c>
      <c r="P32" s="9">
        <f>100*M32/INDEX(Alkalis!H$3:H$12,MATCH($B$1,Alkalis!$A$3:$A$12,0))</f>
        <v>5.9389136267920088</v>
      </c>
      <c r="Q32" s="23">
        <f>100*N32/INDEX(Alkalis!I$3:I$12,MATCH($B$1,Alkalis!$A$3:$A$12,0))</f>
        <v>11.168900018010415</v>
      </c>
      <c r="R32" s="9">
        <f t="shared" si="30"/>
        <v>0.2197114833409623</v>
      </c>
      <c r="S32" s="9">
        <f t="shared" si="31"/>
        <v>9.9298635839962388E-2</v>
      </c>
      <c r="T32" s="23">
        <f t="shared" si="32"/>
        <v>0.28504998572365753</v>
      </c>
      <c r="U32"/>
      <c r="V32"/>
    </row>
    <row r="33" spans="2:22" x14ac:dyDescent="0.35">
      <c r="B33" s="1" t="e">
        <f t="shared" si="21"/>
        <v>#N/A</v>
      </c>
      <c r="C33" s="4">
        <f t="shared" si="22"/>
        <v>0</v>
      </c>
      <c r="D33" s="16"/>
      <c r="E33" s="16">
        <f t="shared" si="27"/>
        <v>0</v>
      </c>
      <c r="F33" s="1"/>
      <c r="G33" s="1"/>
      <c r="H33" s="16" t="e">
        <f t="shared" si="23"/>
        <v>#N/A</v>
      </c>
      <c r="I33" s="16" t="e">
        <f t="shared" si="17"/>
        <v>#N/A</v>
      </c>
      <c r="J33" s="16" t="e">
        <f>100*((H33/1000)/INDEX(Alkalis!$K$3:$K$12,MATCH($B$1,Alkalis!$A$3:$A$12,0)))</f>
        <v>#N/A</v>
      </c>
      <c r="K33" s="16" t="e">
        <f>100*((I33/1000)/INDEX(Alkalis!$K$3:$K$12,MATCH($B$1,Alkalis!$A$3:$A$12,0)))</f>
        <v>#N/A</v>
      </c>
      <c r="L33" s="7" t="e">
        <f t="shared" si="33"/>
        <v>#N/A</v>
      </c>
      <c r="M33" s="7" t="e">
        <f t="shared" si="28"/>
        <v>#N/A</v>
      </c>
      <c r="N33" s="23" t="e">
        <f t="shared" si="29"/>
        <v>#N/A</v>
      </c>
      <c r="O33" s="9" t="e">
        <f>100*L33/INDEX(Alkalis!G$3:G$12,MATCH($B$1,Alkalis!$A$3:$A$12,0))</f>
        <v>#N/A</v>
      </c>
      <c r="P33" s="9" t="e">
        <f>100*M33/INDEX(Alkalis!H$3:H$12,MATCH($B$1,Alkalis!$A$3:$A$12,0))</f>
        <v>#N/A</v>
      </c>
      <c r="Q33" s="23" t="e">
        <f>100*N33/INDEX(Alkalis!I$3:I$12,MATCH($B$1,Alkalis!$A$3:$A$12,0))</f>
        <v>#N/A</v>
      </c>
      <c r="R33" s="9" t="e">
        <f t="shared" si="30"/>
        <v>#N/A</v>
      </c>
      <c r="S33" s="9" t="e">
        <f t="shared" si="31"/>
        <v>#N/A</v>
      </c>
      <c r="T33" s="23" t="e">
        <f t="shared" si="32"/>
        <v>#N/A</v>
      </c>
      <c r="U33"/>
      <c r="V33"/>
    </row>
    <row r="34" spans="2:22" x14ac:dyDescent="0.35">
      <c r="U34"/>
      <c r="V34"/>
    </row>
    <row r="35" spans="2:22" x14ac:dyDescent="0.35">
      <c r="H35"/>
      <c r="U35"/>
      <c r="V35"/>
    </row>
    <row r="36" spans="2:22" x14ac:dyDescent="0.35">
      <c r="H36"/>
      <c r="U36"/>
      <c r="V36"/>
    </row>
    <row r="37" spans="2:22" x14ac:dyDescent="0.35">
      <c r="D37" s="22"/>
    </row>
  </sheetData>
  <mergeCells count="20">
    <mergeCell ref="A7:A17"/>
    <mergeCell ref="R3:R4"/>
    <mergeCell ref="B6:C6"/>
    <mergeCell ref="L5:M5"/>
    <mergeCell ref="P3:P4"/>
    <mergeCell ref="Q3:Q4"/>
    <mergeCell ref="D3:G3"/>
    <mergeCell ref="L3:O3"/>
    <mergeCell ref="H3:K3"/>
    <mergeCell ref="B1:C1"/>
    <mergeCell ref="B3:C4"/>
    <mergeCell ref="B5:C5"/>
    <mergeCell ref="D5:E5"/>
    <mergeCell ref="H5:I5"/>
    <mergeCell ref="C22:C23"/>
    <mergeCell ref="H22:I22"/>
    <mergeCell ref="F22:G22"/>
    <mergeCell ref="J22:T22"/>
    <mergeCell ref="T3:T4"/>
    <mergeCell ref="S3:S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FA2E9-2F6B-444B-B223-168BB50E7909}">
  <sheetPr>
    <tabColor rgb="FFFF0000"/>
  </sheetPr>
  <dimension ref="A1:V35"/>
  <sheetViews>
    <sheetView zoomScale="55" zoomScaleNormal="55" workbookViewId="0">
      <selection activeCell="K38" sqref="K38"/>
    </sheetView>
  </sheetViews>
  <sheetFormatPr defaultColWidth="8.81640625" defaultRowHeight="14.5" x14ac:dyDescent="0.35"/>
  <cols>
    <col min="1" max="1" width="3.54296875" style="17" bestFit="1" customWidth="1"/>
    <col min="2" max="2" width="15.26953125" style="17" bestFit="1" customWidth="1"/>
    <col min="3" max="3" width="15.26953125" style="17" customWidth="1"/>
    <col min="4" max="4" width="13.7265625" style="17" bestFit="1" customWidth="1"/>
    <col min="5" max="5" width="13.81640625" style="17" bestFit="1" customWidth="1"/>
    <col min="6" max="7" width="13.81640625" style="17" customWidth="1"/>
    <col min="8" max="8" width="13.7265625" style="17" bestFit="1" customWidth="1"/>
    <col min="9" max="9" width="13.81640625" style="17" bestFit="1" customWidth="1"/>
    <col min="10" max="11" width="13.81640625" style="17" customWidth="1"/>
    <col min="12" max="12" width="14.7265625" style="17" bestFit="1" customWidth="1"/>
    <col min="13" max="13" width="13.81640625" style="17" bestFit="1" customWidth="1"/>
    <col min="14" max="15" width="13.81640625" style="17" customWidth="1"/>
    <col min="16" max="16" width="17.26953125" style="17" bestFit="1" customWidth="1"/>
    <col min="17" max="17" width="16.26953125" style="17" bestFit="1" customWidth="1"/>
    <col min="18" max="18" width="18.26953125" style="17" customWidth="1"/>
    <col min="19" max="19" width="16.453125" style="17" bestFit="1" customWidth="1"/>
    <col min="20" max="20" width="15.1796875" style="17" bestFit="1" customWidth="1"/>
    <col min="21" max="21" width="16.26953125" style="17" bestFit="1" customWidth="1"/>
    <col min="22" max="22" width="18.7265625" style="17" bestFit="1" customWidth="1"/>
    <col min="23" max="16384" width="8.81640625" style="17"/>
  </cols>
  <sheetData>
    <row r="1" spans="1:20" x14ac:dyDescent="0.35">
      <c r="B1" s="41" t="s">
        <v>61</v>
      </c>
      <c r="C1" s="41"/>
    </row>
    <row r="3" spans="1:20" ht="14.5" customHeight="1" x14ac:dyDescent="0.35">
      <c r="B3" s="42" t="s">
        <v>3</v>
      </c>
      <c r="C3" s="43"/>
      <c r="D3" s="46" t="s">
        <v>19</v>
      </c>
      <c r="E3" s="53"/>
      <c r="F3" s="53"/>
      <c r="G3" s="47"/>
      <c r="H3" s="46" t="s">
        <v>20</v>
      </c>
      <c r="I3" s="53"/>
      <c r="J3" s="53"/>
      <c r="K3" s="47"/>
      <c r="L3" s="46" t="s">
        <v>21</v>
      </c>
      <c r="M3" s="53"/>
      <c r="N3" s="53"/>
      <c r="O3" s="47"/>
      <c r="P3" s="51" t="s">
        <v>103</v>
      </c>
      <c r="Q3" s="39" t="s">
        <v>82</v>
      </c>
      <c r="R3" s="51" t="s">
        <v>38</v>
      </c>
      <c r="S3" s="51" t="s">
        <v>81</v>
      </c>
      <c r="T3" s="39" t="s">
        <v>82</v>
      </c>
    </row>
    <row r="4" spans="1:20" ht="14.5" customHeight="1" x14ac:dyDescent="0.35">
      <c r="B4" s="44"/>
      <c r="C4" s="45"/>
      <c r="D4" s="1" t="s">
        <v>80</v>
      </c>
      <c r="E4" s="1" t="s">
        <v>102</v>
      </c>
      <c r="F4" s="15" t="s">
        <v>15</v>
      </c>
      <c r="G4" s="15" t="s">
        <v>83</v>
      </c>
      <c r="H4" s="1" t="s">
        <v>80</v>
      </c>
      <c r="I4" s="1" t="s">
        <v>102</v>
      </c>
      <c r="J4" s="15" t="s">
        <v>15</v>
      </c>
      <c r="K4" s="15" t="s">
        <v>83</v>
      </c>
      <c r="L4" s="1" t="s">
        <v>80</v>
      </c>
      <c r="M4" s="1" t="s">
        <v>102</v>
      </c>
      <c r="N4" s="15" t="s">
        <v>15</v>
      </c>
      <c r="O4" s="15" t="s">
        <v>83</v>
      </c>
      <c r="P4" s="51"/>
      <c r="Q4" s="39"/>
      <c r="R4" s="51"/>
      <c r="S4" s="51"/>
      <c r="T4" s="39"/>
    </row>
    <row r="5" spans="1:20" ht="16.5" x14ac:dyDescent="0.35">
      <c r="A5" s="20"/>
      <c r="B5" s="46" t="s">
        <v>1</v>
      </c>
      <c r="C5" s="47"/>
      <c r="D5" s="39">
        <v>400</v>
      </c>
      <c r="E5" s="39"/>
      <c r="F5" s="1"/>
      <c r="G5" s="1"/>
      <c r="H5" s="39">
        <v>400</v>
      </c>
      <c r="I5" s="39"/>
      <c r="J5" s="1"/>
      <c r="K5" s="1"/>
      <c r="L5" s="39">
        <v>400</v>
      </c>
      <c r="M5" s="39"/>
      <c r="N5" s="1"/>
      <c r="O5" s="1"/>
      <c r="P5" s="2"/>
      <c r="Q5" s="2"/>
      <c r="R5" s="2"/>
      <c r="S5" s="2"/>
      <c r="T5" s="2"/>
    </row>
    <row r="6" spans="1:20" x14ac:dyDescent="0.35">
      <c r="A6" s="20"/>
      <c r="B6" s="46" t="s">
        <v>2</v>
      </c>
      <c r="C6" s="47"/>
      <c r="D6" s="7">
        <v>-4.0250000000000004</v>
      </c>
      <c r="E6" s="5">
        <f>100*(D7-$D$6)/$D$5</f>
        <v>1.9000000000000128E-2</v>
      </c>
      <c r="F6" s="16">
        <v>9539.4</v>
      </c>
      <c r="G6" s="16"/>
      <c r="H6" s="7">
        <v>-3.9605000000000001</v>
      </c>
      <c r="I6" s="5">
        <f>100*(H7-$H$6)/$H$5</f>
        <v>4.6249999999999902E-3</v>
      </c>
      <c r="J6" s="16">
        <v>9677.9</v>
      </c>
      <c r="K6" s="16"/>
      <c r="L6" s="7">
        <v>-4.9169999999999998</v>
      </c>
      <c r="M6" s="5">
        <f>100*(L7-$L$6)/$L$5</f>
        <v>7.3749999999999094E-3</v>
      </c>
      <c r="N6" s="16">
        <v>9535.5</v>
      </c>
      <c r="O6" s="16"/>
      <c r="P6" s="6">
        <f>IF(ISBLANK(D6),NA(),AVERAGE(E6,I6,M6))</f>
        <v>1.0333333333333342E-2</v>
      </c>
      <c r="Q6" s="6">
        <f>IF(ISBLANK(D6),NA(),_xlfn.STDEV.P(E6,I6,M6))</f>
        <v>6.2302465619125521E-3</v>
      </c>
      <c r="R6" s="24"/>
      <c r="S6" s="2"/>
      <c r="T6" s="2"/>
    </row>
    <row r="7" spans="1:20" ht="15" customHeight="1" x14ac:dyDescent="0.35">
      <c r="A7" s="52" t="s">
        <v>0</v>
      </c>
      <c r="B7" s="1">
        <v>1</v>
      </c>
      <c r="C7" s="4">
        <v>44580</v>
      </c>
      <c r="D7" s="7">
        <v>-3.9489999999999998</v>
      </c>
      <c r="E7" s="3">
        <f>IF(ISBLANK(D7),NA(),100*(D7-$D$7)/$D$5)</f>
        <v>0</v>
      </c>
      <c r="F7" s="16">
        <v>9536.5</v>
      </c>
      <c r="G7" s="3">
        <f>IF(ISBLANK(F7),NA(),100*(F7-$F$7)/$F$7)</f>
        <v>0</v>
      </c>
      <c r="H7" s="7">
        <v>-3.9420000000000002</v>
      </c>
      <c r="I7" s="3">
        <f>IF(ISBLANK(H7),NA(),100*(H7-$H$7)/$H$5)</f>
        <v>0</v>
      </c>
      <c r="J7" s="16">
        <v>9675</v>
      </c>
      <c r="K7" s="3">
        <f>IF(ISBLANK(J7),NA(),100*(J7-$J$7)/$J$7)</f>
        <v>0</v>
      </c>
      <c r="L7" s="7">
        <v>-4.8875000000000002</v>
      </c>
      <c r="M7" s="3">
        <f>100*(L7-$L$7)/$L$5</f>
        <v>0</v>
      </c>
      <c r="N7" s="16">
        <v>9534.2000000000007</v>
      </c>
      <c r="O7" s="3">
        <f>IF(ISBLANK(N7),NA(),100*(N7-$N$7)/$N$7)</f>
        <v>0</v>
      </c>
      <c r="P7" s="23">
        <f t="shared" ref="P7:P13" si="0">IF(ISBLANK(D7),NA(),AVERAGE(E7,I7,M7))</f>
        <v>0</v>
      </c>
      <c r="Q7" s="8">
        <f t="shared" ref="Q7:Q13" si="1">IF(ISBLANK(D7),NA(),_xlfn.STDEV.P(E7,I7,M7))</f>
        <v>0</v>
      </c>
      <c r="R7" s="8"/>
      <c r="S7" s="23">
        <f>AVERAGE(G7,K7,O7)</f>
        <v>0</v>
      </c>
      <c r="T7" s="9">
        <f>_xlfn.STDEV.P(G7,K7,O7)</f>
        <v>0</v>
      </c>
    </row>
    <row r="8" spans="1:20" x14ac:dyDescent="0.35">
      <c r="A8" s="52"/>
      <c r="B8" s="1">
        <f>IF(ISBLANK(C8),NA(),C8-C$7+1)</f>
        <v>7</v>
      </c>
      <c r="C8" s="4">
        <v>44586</v>
      </c>
      <c r="D8" s="7">
        <v>-3.9369999999999998</v>
      </c>
      <c r="E8" s="3">
        <f t="shared" ref="E8:E17" si="2">IF(ISBLANK(D8),NA(),100*(D8-$D$7)/$D$5)</f>
        <v>3.0000000000000027E-3</v>
      </c>
      <c r="F8" s="16">
        <v>9544.9</v>
      </c>
      <c r="G8" s="3">
        <f t="shared" ref="G8:G17" si="3">IF(ISBLANK(F8),NA(),100*(F8-$F$7)/$F$7)</f>
        <v>8.8082629895660208E-2</v>
      </c>
      <c r="H8" s="7">
        <v>-3.9430000000000001</v>
      </c>
      <c r="I8" s="3">
        <f t="shared" ref="I8:I17" si="4">IF(ISBLANK(H8),NA(),100*(H8-$H$7)/$H$5)</f>
        <v>-2.4999999999997247E-4</v>
      </c>
      <c r="J8" s="16">
        <v>9683.2999999999993</v>
      </c>
      <c r="K8" s="3">
        <f t="shared" ref="K8:K17" si="5">IF(ISBLANK(J8),NA(),100*(J8-$J$7)/$J$7)</f>
        <v>8.5788113695082921E-2</v>
      </c>
      <c r="L8" s="7">
        <v>-4.8929999999999998</v>
      </c>
      <c r="M8" s="3">
        <f t="shared" ref="M8:M17" si="6">100*(L8-$L$7)/$L$5</f>
        <v>-1.3749999999999041E-3</v>
      </c>
      <c r="N8" s="16">
        <v>9543.6</v>
      </c>
      <c r="O8" s="3">
        <f t="shared" ref="O8:O17" si="7">IF(ISBLANK(N8),NA(),100*(N8-$N$7)/$N$7)</f>
        <v>9.8592435652699081E-2</v>
      </c>
      <c r="P8" s="23">
        <f t="shared" si="0"/>
        <v>4.5833333333337539E-4</v>
      </c>
      <c r="Q8" s="8">
        <f t="shared" si="1"/>
        <v>1.8549857741293049E-3</v>
      </c>
      <c r="R8" s="8" t="s">
        <v>39</v>
      </c>
      <c r="S8" s="23">
        <f t="shared" ref="S8:S14" si="8">AVERAGE(G8,K8,O8)</f>
        <v>9.082105974781407E-2</v>
      </c>
      <c r="T8" s="9">
        <f t="shared" ref="T8:T14" si="9">_xlfn.STDEV.P(G8,K8,O8)</f>
        <v>5.5744604366669967E-3</v>
      </c>
    </row>
    <row r="9" spans="1:20" x14ac:dyDescent="0.35">
      <c r="A9" s="52"/>
      <c r="B9" s="1">
        <f t="shared" ref="B9:B17" si="10">IF(ISBLANK(C9),NA(),C9-C$7+1)</f>
        <v>29</v>
      </c>
      <c r="C9" s="4">
        <v>44608</v>
      </c>
      <c r="D9" s="7">
        <v>-3.8809999999999998</v>
      </c>
      <c r="E9" s="3">
        <f t="shared" si="2"/>
        <v>1.7000000000000015E-2</v>
      </c>
      <c r="F9" s="16">
        <v>9560.7000000000007</v>
      </c>
      <c r="G9" s="3">
        <f t="shared" si="3"/>
        <v>0.25376186231846826</v>
      </c>
      <c r="H9" s="7">
        <v>-3.8650000000000002</v>
      </c>
      <c r="I9" s="3">
        <f t="shared" si="4"/>
        <v>1.9249999999999989E-2</v>
      </c>
      <c r="J9" s="16">
        <v>9698.6</v>
      </c>
      <c r="K9" s="3">
        <f t="shared" si="5"/>
        <v>0.24392764857881513</v>
      </c>
      <c r="L9" s="7">
        <v>-4.819</v>
      </c>
      <c r="M9" s="3">
        <f t="shared" si="6"/>
        <v>1.7125000000000057E-2</v>
      </c>
      <c r="N9" s="16">
        <v>9556.9</v>
      </c>
      <c r="O9" s="3">
        <f t="shared" si="7"/>
        <v>0.23809024354428171</v>
      </c>
      <c r="P9" s="23">
        <f t="shared" si="0"/>
        <v>1.7791666666666688E-2</v>
      </c>
      <c r="Q9" s="8">
        <f t="shared" si="1"/>
        <v>1.0324593077803011E-3</v>
      </c>
      <c r="R9" s="8"/>
      <c r="S9" s="23">
        <f t="shared" si="8"/>
        <v>0.24525991814718839</v>
      </c>
      <c r="T9" s="9">
        <f t="shared" si="9"/>
        <v>6.4668959789051361E-3</v>
      </c>
    </row>
    <row r="10" spans="1:20" x14ac:dyDescent="0.35">
      <c r="A10" s="52"/>
      <c r="B10" s="1">
        <f t="shared" si="10"/>
        <v>57</v>
      </c>
      <c r="C10" s="4">
        <v>44636</v>
      </c>
      <c r="D10" s="7">
        <v>-3.5310000000000001</v>
      </c>
      <c r="E10" s="3">
        <f t="shared" si="2"/>
        <v>0.10449999999999993</v>
      </c>
      <c r="F10" s="16">
        <v>9572.2999999999993</v>
      </c>
      <c r="G10" s="3">
        <f t="shared" si="3"/>
        <v>0.37539977979341765</v>
      </c>
      <c r="H10" s="7">
        <v>-3.4889999999999999</v>
      </c>
      <c r="I10" s="3">
        <f t="shared" si="4"/>
        <v>0.11325000000000006</v>
      </c>
      <c r="J10" s="16">
        <v>9709.7999999999993</v>
      </c>
      <c r="K10" s="3">
        <f t="shared" si="5"/>
        <v>0.35968992248061266</v>
      </c>
      <c r="L10" s="7">
        <v>-4.4669999999999996</v>
      </c>
      <c r="M10" s="3">
        <f t="shared" si="6"/>
        <v>0.10512500000000014</v>
      </c>
      <c r="N10" s="16">
        <v>9565.7000000000007</v>
      </c>
      <c r="O10" s="3">
        <f t="shared" si="7"/>
        <v>0.330389545006398</v>
      </c>
      <c r="P10" s="23">
        <f t="shared" si="0"/>
        <v>0.10762500000000004</v>
      </c>
      <c r="Q10" s="8">
        <f t="shared" si="1"/>
        <v>3.9856513478560588E-3</v>
      </c>
      <c r="R10" s="8"/>
      <c r="S10" s="23">
        <f t="shared" si="8"/>
        <v>0.35515974909347614</v>
      </c>
      <c r="T10" s="9">
        <f t="shared" si="9"/>
        <v>1.8652473689099055E-2</v>
      </c>
    </row>
    <row r="11" spans="1:20" x14ac:dyDescent="0.35">
      <c r="A11" s="52"/>
      <c r="B11" s="1">
        <f t="shared" si="10"/>
        <v>91</v>
      </c>
      <c r="C11" s="4">
        <v>44670</v>
      </c>
      <c r="D11" s="7">
        <v>-3.335</v>
      </c>
      <c r="E11" s="3">
        <f t="shared" si="2"/>
        <v>0.15349999999999997</v>
      </c>
      <c r="F11" s="16">
        <v>9585.6</v>
      </c>
      <c r="G11" s="3">
        <f t="shared" si="3"/>
        <v>0.51486394379489708</v>
      </c>
      <c r="H11" s="7">
        <v>-3.2749999999999999</v>
      </c>
      <c r="I11" s="3">
        <f t="shared" si="4"/>
        <v>0.16675000000000006</v>
      </c>
      <c r="J11" s="16">
        <v>9721.6</v>
      </c>
      <c r="K11" s="3">
        <f t="shared" si="5"/>
        <v>0.48165374677002959</v>
      </c>
      <c r="L11" s="7">
        <v>-4.3150000000000004</v>
      </c>
      <c r="M11" s="3">
        <f t="shared" si="6"/>
        <v>0.14312499999999995</v>
      </c>
      <c r="N11" s="16">
        <v>9574.5</v>
      </c>
      <c r="O11" s="3">
        <f t="shared" si="7"/>
        <v>0.42268884646849519</v>
      </c>
      <c r="P11" s="23">
        <f t="shared" si="0"/>
        <v>0.15445833333333334</v>
      </c>
      <c r="Q11" s="8">
        <f t="shared" si="1"/>
        <v>9.6686420395467043E-3</v>
      </c>
      <c r="R11" s="8" t="s">
        <v>62</v>
      </c>
      <c r="S11" s="23">
        <f t="shared" si="8"/>
        <v>0.47306884567780733</v>
      </c>
      <c r="T11" s="9">
        <f t="shared" si="9"/>
        <v>3.8116816383807511E-2</v>
      </c>
    </row>
    <row r="12" spans="1:20" x14ac:dyDescent="0.35">
      <c r="A12" s="52"/>
      <c r="B12" s="1">
        <f t="shared" si="10"/>
        <v>199</v>
      </c>
      <c r="C12" s="4">
        <v>44778</v>
      </c>
      <c r="D12" s="7">
        <v>-3.0529999999999999</v>
      </c>
      <c r="E12" s="3">
        <f t="shared" si="2"/>
        <v>0.22399999999999998</v>
      </c>
      <c r="F12" s="16">
        <v>9615</v>
      </c>
      <c r="G12" s="3">
        <f t="shared" si="3"/>
        <v>0.82315314842971743</v>
      </c>
      <c r="H12" s="7">
        <v>-3.028</v>
      </c>
      <c r="I12" s="3">
        <f t="shared" si="4"/>
        <v>0.22850000000000004</v>
      </c>
      <c r="J12" s="16">
        <v>9750</v>
      </c>
      <c r="K12" s="3">
        <f t="shared" si="5"/>
        <v>0.77519379844961245</v>
      </c>
      <c r="L12" s="7">
        <v>-4.0970000000000004</v>
      </c>
      <c r="M12" s="3">
        <f t="shared" si="6"/>
        <v>0.19762499999999997</v>
      </c>
      <c r="N12" s="16">
        <v>9600</v>
      </c>
      <c r="O12" s="3">
        <f t="shared" si="7"/>
        <v>0.6901470495689126</v>
      </c>
      <c r="P12" s="23">
        <f t="shared" si="0"/>
        <v>0.21670833333333331</v>
      </c>
      <c r="Q12" s="8">
        <f t="shared" si="1"/>
        <v>1.3618436237525809E-2</v>
      </c>
      <c r="R12" s="8"/>
      <c r="S12" s="23">
        <f t="shared" si="8"/>
        <v>0.76283133214941412</v>
      </c>
      <c r="T12" s="9">
        <f t="shared" si="9"/>
        <v>5.4998657640044281E-2</v>
      </c>
    </row>
    <row r="13" spans="1:20" x14ac:dyDescent="0.35">
      <c r="A13" s="52"/>
      <c r="B13" s="1">
        <f t="shared" si="10"/>
        <v>373</v>
      </c>
      <c r="C13" s="4">
        <v>44952</v>
      </c>
      <c r="D13" s="7">
        <v>-2.621</v>
      </c>
      <c r="E13" s="3">
        <f t="shared" si="2"/>
        <v>0.33199999999999996</v>
      </c>
      <c r="F13" s="16">
        <v>9670</v>
      </c>
      <c r="G13" s="3">
        <f t="shared" si="3"/>
        <v>1.3998846536989462</v>
      </c>
      <c r="H13" s="7">
        <v>-2.8650000000000002</v>
      </c>
      <c r="I13" s="3">
        <f t="shared" si="4"/>
        <v>0.26924999999999999</v>
      </c>
      <c r="J13" s="16">
        <v>9800</v>
      </c>
      <c r="K13" s="3">
        <f t="shared" si="5"/>
        <v>1.2919896640826873</v>
      </c>
      <c r="L13" s="7">
        <v>-3.653</v>
      </c>
      <c r="M13" s="3">
        <f t="shared" si="6"/>
        <v>0.30862500000000004</v>
      </c>
      <c r="N13" s="16">
        <v>9665</v>
      </c>
      <c r="O13" s="3">
        <f t="shared" si="7"/>
        <v>1.3719032535503688</v>
      </c>
      <c r="P13" s="23">
        <f t="shared" si="0"/>
        <v>0.30329166666666668</v>
      </c>
      <c r="Q13" s="8">
        <f t="shared" si="1"/>
        <v>2.5893679516223424E-2</v>
      </c>
      <c r="R13" s="8"/>
      <c r="S13" s="23">
        <f t="shared" si="8"/>
        <v>1.354592523777334</v>
      </c>
      <c r="T13" s="9">
        <f t="shared" si="9"/>
        <v>4.5717088125626318E-2</v>
      </c>
    </row>
    <row r="14" spans="1:20" x14ac:dyDescent="0.35">
      <c r="A14" s="52"/>
      <c r="B14" s="1">
        <f t="shared" si="10"/>
        <v>464</v>
      </c>
      <c r="C14" s="4">
        <v>45043</v>
      </c>
      <c r="D14" s="7">
        <v>-2.5979999999999999</v>
      </c>
      <c r="E14" s="3">
        <f t="shared" si="2"/>
        <v>0.33774999999999999</v>
      </c>
      <c r="F14" s="16">
        <v>9680</v>
      </c>
      <c r="G14" s="3">
        <f t="shared" si="3"/>
        <v>1.5047449273842606</v>
      </c>
      <c r="H14" s="7">
        <v>-2.8519999999999999</v>
      </c>
      <c r="I14" s="3">
        <f t="shared" si="4"/>
        <v>0.27250000000000008</v>
      </c>
      <c r="J14" s="16">
        <v>9805</v>
      </c>
      <c r="K14" s="3">
        <f t="shared" si="5"/>
        <v>1.3436692506459949</v>
      </c>
      <c r="L14" s="7">
        <v>-3.641</v>
      </c>
      <c r="M14" s="3">
        <f t="shared" si="6"/>
        <v>0.31162500000000004</v>
      </c>
      <c r="N14" s="16">
        <v>9670</v>
      </c>
      <c r="O14" s="3">
        <f t="shared" si="7"/>
        <v>1.4243460384720192</v>
      </c>
      <c r="P14" s="23">
        <f t="shared" ref="P14" si="11">IF(ISBLANK(D14),NA(),AVERAGE(E14,I14,M14))</f>
        <v>0.30729166666666669</v>
      </c>
      <c r="Q14" s="8">
        <f t="shared" ref="Q14" si="12">IF(ISBLANK(D14),NA(),_xlfn.STDEV.P(E14,I14,M14))</f>
        <v>2.6813851623533818E-2</v>
      </c>
      <c r="R14" s="8"/>
      <c r="S14" s="23">
        <f t="shared" si="8"/>
        <v>1.4242534055007583</v>
      </c>
      <c r="T14" s="9">
        <f t="shared" si="9"/>
        <v>6.5758902286170054E-2</v>
      </c>
    </row>
    <row r="15" spans="1:20" x14ac:dyDescent="0.35">
      <c r="A15" s="52"/>
      <c r="B15" s="1">
        <f t="shared" si="10"/>
        <v>562</v>
      </c>
      <c r="C15" s="4">
        <v>45141</v>
      </c>
      <c r="D15" s="7">
        <v>-2.5939999999999999</v>
      </c>
      <c r="E15" s="3">
        <f t="shared" si="2"/>
        <v>0.33875</v>
      </c>
      <c r="F15" s="16">
        <v>9680</v>
      </c>
      <c r="G15" s="3">
        <f t="shared" si="3"/>
        <v>1.5047449273842606</v>
      </c>
      <c r="H15" s="7">
        <v>-2.855</v>
      </c>
      <c r="I15" s="3">
        <f t="shared" si="4"/>
        <v>0.27175000000000005</v>
      </c>
      <c r="J15" s="16">
        <v>9805</v>
      </c>
      <c r="K15" s="3">
        <f t="shared" si="5"/>
        <v>1.3436692506459949</v>
      </c>
      <c r="L15" s="7"/>
      <c r="M15" s="3">
        <f t="shared" si="6"/>
        <v>1.221875</v>
      </c>
      <c r="N15" s="16"/>
      <c r="O15" s="3" t="e">
        <f>IF(ISBLANK(N15),NA(),100*(N15-$N$7)/$N$7)</f>
        <v>#N/A</v>
      </c>
      <c r="P15" s="23">
        <f>IF(ISBLANK(D15),NA(),AVERAGE(E15,I15))</f>
        <v>0.30525000000000002</v>
      </c>
      <c r="Q15" s="8">
        <f>IF(ISBLANK(D15),NA(),_xlfn.STDEV.P(E15,I15))</f>
        <v>3.349999999999987E-2</v>
      </c>
      <c r="R15" s="8"/>
      <c r="S15" s="23">
        <f>AVERAGE(G15,K15)</f>
        <v>1.4242070890151277</v>
      </c>
      <c r="T15" s="9">
        <f>_xlfn.STDEV.P(G15,K15)</f>
        <v>8.0537838369132864E-2</v>
      </c>
    </row>
    <row r="16" spans="1:20" x14ac:dyDescent="0.35">
      <c r="A16" s="52"/>
      <c r="B16" s="1">
        <f>IF(ISBLANK(C16),NA(),C16-C$7+1)</f>
        <v>730</v>
      </c>
      <c r="C16" s="4">
        <v>45309</v>
      </c>
      <c r="D16" s="7">
        <v>-2.5979999999999999</v>
      </c>
      <c r="E16" s="3">
        <f t="shared" si="2"/>
        <v>0.33774999999999999</v>
      </c>
      <c r="F16" s="16">
        <v>9665</v>
      </c>
      <c r="G16" s="3">
        <f t="shared" si="3"/>
        <v>1.347454516856289</v>
      </c>
      <c r="H16" s="7">
        <v>-2.8580000000000001</v>
      </c>
      <c r="I16" s="3">
        <f t="shared" si="4"/>
        <v>0.27100000000000002</v>
      </c>
      <c r="J16" s="16">
        <v>9800</v>
      </c>
      <c r="K16" s="3">
        <f t="shared" si="5"/>
        <v>1.2919896640826873</v>
      </c>
      <c r="L16" s="7"/>
      <c r="M16" s="3">
        <f t="shared" si="6"/>
        <v>1.221875</v>
      </c>
      <c r="N16" s="16"/>
      <c r="O16" s="3" t="e">
        <f t="shared" si="7"/>
        <v>#N/A</v>
      </c>
      <c r="P16" s="23">
        <f t="shared" ref="P16:P17" si="13">IF(ISBLANK(D16),NA(),AVERAGE(E16,I16))</f>
        <v>0.30437500000000001</v>
      </c>
      <c r="Q16" s="8">
        <f t="shared" ref="Q16:Q17" si="14">IF(ISBLANK(D16),NA(),_xlfn.STDEV.P(E16,I16))</f>
        <v>3.3374999999999828E-2</v>
      </c>
      <c r="R16" s="8"/>
      <c r="S16" s="23">
        <f t="shared" ref="S16:S17" si="15">AVERAGE(G16,K16)</f>
        <v>1.3197220904694882</v>
      </c>
      <c r="T16" s="9">
        <f t="shared" ref="T16:T17" si="16">_xlfn.STDEV.P(G16,K16)</f>
        <v>2.7732426386800846E-2</v>
      </c>
    </row>
    <row r="17" spans="1:22" x14ac:dyDescent="0.35">
      <c r="A17" s="52"/>
      <c r="B17" s="1" t="e">
        <f t="shared" si="10"/>
        <v>#N/A</v>
      </c>
      <c r="C17" s="4"/>
      <c r="D17" s="7"/>
      <c r="E17" s="3" t="e">
        <f t="shared" si="2"/>
        <v>#N/A</v>
      </c>
      <c r="F17" s="16"/>
      <c r="G17" s="3" t="e">
        <f t="shared" si="3"/>
        <v>#N/A</v>
      </c>
      <c r="H17" s="7"/>
      <c r="I17" s="3" t="e">
        <f t="shared" si="4"/>
        <v>#N/A</v>
      </c>
      <c r="J17" s="16"/>
      <c r="K17" s="3" t="e">
        <f t="shared" si="5"/>
        <v>#N/A</v>
      </c>
      <c r="L17" s="7"/>
      <c r="M17" s="3">
        <f t="shared" si="6"/>
        <v>1.221875</v>
      </c>
      <c r="N17" s="16"/>
      <c r="O17" s="3" t="e">
        <f t="shared" si="7"/>
        <v>#N/A</v>
      </c>
      <c r="P17" s="23" t="e">
        <f t="shared" si="13"/>
        <v>#N/A</v>
      </c>
      <c r="Q17" s="8" t="e">
        <f t="shared" si="14"/>
        <v>#N/A</v>
      </c>
      <c r="R17" s="8"/>
      <c r="S17" s="23" t="e">
        <f t="shared" si="15"/>
        <v>#N/A</v>
      </c>
      <c r="T17" s="9" t="e">
        <f t="shared" si="16"/>
        <v>#N/A</v>
      </c>
    </row>
    <row r="19" spans="1:22" x14ac:dyDescent="0.35">
      <c r="B19" s="21"/>
      <c r="S19"/>
      <c r="T19"/>
      <c r="U19"/>
    </row>
    <row r="20" spans="1:22" x14ac:dyDescent="0.35">
      <c r="S20"/>
      <c r="T20"/>
      <c r="U20"/>
      <c r="V20"/>
    </row>
    <row r="21" spans="1:22" x14ac:dyDescent="0.35">
      <c r="C21" s="21"/>
      <c r="U21"/>
      <c r="V21"/>
    </row>
    <row r="22" spans="1:22" x14ac:dyDescent="0.35">
      <c r="C22" s="40" t="s">
        <v>10</v>
      </c>
      <c r="D22" s="13" t="s">
        <v>9</v>
      </c>
      <c r="E22" s="13" t="s">
        <v>11</v>
      </c>
      <c r="F22" s="48" t="s">
        <v>14</v>
      </c>
      <c r="G22" s="50"/>
      <c r="H22" s="48" t="s">
        <v>55</v>
      </c>
      <c r="I22" s="49"/>
      <c r="J22" s="40" t="s">
        <v>63</v>
      </c>
      <c r="K22" s="40"/>
      <c r="L22" s="40"/>
      <c r="M22" s="40"/>
      <c r="N22" s="40"/>
      <c r="O22" s="40"/>
      <c r="P22" s="40"/>
      <c r="Q22" s="40"/>
      <c r="R22" s="40"/>
      <c r="S22" s="40"/>
      <c r="T22" s="40"/>
      <c r="U22"/>
      <c r="V22"/>
    </row>
    <row r="23" spans="1:22" ht="16.5" x14ac:dyDescent="0.35">
      <c r="C23" s="40"/>
      <c r="D23" s="13"/>
      <c r="E23" s="13"/>
      <c r="F23" s="14" t="s">
        <v>12</v>
      </c>
      <c r="G23" s="14" t="s">
        <v>13</v>
      </c>
      <c r="H23" s="14" t="s">
        <v>52</v>
      </c>
      <c r="I23" s="14" t="s">
        <v>54</v>
      </c>
      <c r="J23" s="14" t="s">
        <v>65</v>
      </c>
      <c r="K23" s="14" t="s">
        <v>67</v>
      </c>
      <c r="L23" s="14" t="s">
        <v>69</v>
      </c>
      <c r="M23" s="14" t="s">
        <v>71</v>
      </c>
      <c r="N23" s="14" t="s">
        <v>73</v>
      </c>
      <c r="O23" s="14" t="s">
        <v>89</v>
      </c>
      <c r="P23" s="14" t="s">
        <v>90</v>
      </c>
      <c r="Q23" s="14" t="s">
        <v>92</v>
      </c>
      <c r="R23" s="14" t="s">
        <v>75</v>
      </c>
      <c r="S23" s="14" t="s">
        <v>77</v>
      </c>
      <c r="T23" s="14" t="s">
        <v>79</v>
      </c>
      <c r="U23"/>
      <c r="V23"/>
    </row>
    <row r="24" spans="1:22" x14ac:dyDescent="0.35">
      <c r="B24" s="1">
        <f>IF(ISBLANK(D24),NA(),C24-$C$24)</f>
        <v>0</v>
      </c>
      <c r="C24" s="4">
        <f>C7-1</f>
        <v>44579</v>
      </c>
      <c r="D24" s="16">
        <v>25.5</v>
      </c>
      <c r="E24" s="16">
        <f>D24/0.0129</f>
        <v>1976.7441860465117</v>
      </c>
      <c r="F24" s="1">
        <v>0</v>
      </c>
      <c r="G24" s="1">
        <v>0</v>
      </c>
      <c r="H24" s="16">
        <f>IF(ISBLANK(F24),NA(),F24*62/(23*2)*$E24/1000)</f>
        <v>0</v>
      </c>
      <c r="I24" s="16">
        <f t="shared" ref="I24:I33" si="17">IF(ISBLANK(G24),NA(),G24*62/(23*2)*$E24/1000)</f>
        <v>0</v>
      </c>
      <c r="J24" s="16">
        <f>100*((H24/1000)/INDEX(Alkalis!$K$3:$K$12,MATCH($B$1,Alkalis!$A$3:$A$12,0)))</f>
        <v>0</v>
      </c>
      <c r="K24" s="16">
        <f>100*((I24/1000)/INDEX(Alkalis!$K$3:$K$12,MATCH($B$1,Alkalis!$A$3:$A$12,0)))</f>
        <v>0</v>
      </c>
      <c r="L24" s="7">
        <f>100*(H24/1000)/(3*440*0.1*0.1*0.4*1000)</f>
        <v>0</v>
      </c>
      <c r="M24" s="7">
        <f>100*(I24/1000)/(3*440*0.1*0.1*0.4*1000)</f>
        <v>0</v>
      </c>
      <c r="N24" s="23">
        <f t="shared" ref="N24:N30" si="18">L24+0.658*M24</f>
        <v>0</v>
      </c>
      <c r="O24" s="9">
        <f>100*L24/INDEX(Alkalis!G$3:G$12,MATCH($B$1,Alkalis!$A$3:$A$12,0))</f>
        <v>0</v>
      </c>
      <c r="P24" s="9">
        <f>100*M24/INDEX(Alkalis!H$3:H$12,MATCH($B$1,Alkalis!$A$3:$A$12,0))</f>
        <v>0</v>
      </c>
      <c r="Q24" s="23">
        <f>100*N24/INDEX(Alkalis!I$3:I$12,MATCH($B$1,Alkalis!$A$3:$A$12,0))</f>
        <v>0</v>
      </c>
      <c r="R24" s="9">
        <f t="shared" ref="R24:R30" si="19">440*L24/100</f>
        <v>0</v>
      </c>
      <c r="S24" s="9">
        <f t="shared" ref="S24:S30" si="20">440*M24/100</f>
        <v>0</v>
      </c>
      <c r="T24" s="23">
        <f t="shared" ref="T24:T30" si="21">440*N24/100</f>
        <v>0</v>
      </c>
      <c r="U24"/>
      <c r="V24"/>
    </row>
    <row r="25" spans="1:22" x14ac:dyDescent="0.35">
      <c r="B25" s="1">
        <f t="shared" ref="B25:B33" si="22">IF(ISBLANK(D25),NA(),C25-$C$24)</f>
        <v>29</v>
      </c>
      <c r="C25" s="4">
        <f t="shared" ref="C25:C33" si="23">C9</f>
        <v>44608</v>
      </c>
      <c r="D25" s="16">
        <v>24</v>
      </c>
      <c r="E25" s="16">
        <f>D25/0.0129</f>
        <v>1860.4651162790697</v>
      </c>
      <c r="F25" s="1">
        <v>25.482326836394723</v>
      </c>
      <c r="G25" s="1">
        <v>60.876390976354955</v>
      </c>
      <c r="H25" s="16">
        <f t="shared" ref="H25:H33" si="24">IF(ISBLANK(F25),NA(),F25*62/(23*2)*$E25/1000)</f>
        <v>63.899060216641971</v>
      </c>
      <c r="I25" s="16">
        <f t="shared" si="17"/>
        <v>152.65262853524803</v>
      </c>
      <c r="J25" s="16">
        <f>100*((H25/1000)/INDEX(Alkalis!$K$3:$K$12,MATCH($B$1,Alkalis!$A$3:$A$12,0)))</f>
        <v>0.26893543862223046</v>
      </c>
      <c r="K25" s="16">
        <f>100*((I25/1000)/INDEX(Alkalis!$K$3:$K$12,MATCH($B$1,Alkalis!$A$3:$A$12,0)))</f>
        <v>0.64247739282511784</v>
      </c>
      <c r="L25" s="7">
        <f t="shared" ref="L25:L29" si="25">100*(H25/1000)/(3*440*0.1*0.1*0.4*1000)</f>
        <v>1.2102094738000372E-3</v>
      </c>
      <c r="M25" s="7">
        <f t="shared" ref="M25:M29" si="26">100*(I25/1000)/(3*440*0.1*0.1*0.4*1000)</f>
        <v>2.8911482677130302E-3</v>
      </c>
      <c r="N25" s="23">
        <f t="shared" si="18"/>
        <v>3.1125850339552112E-3</v>
      </c>
      <c r="O25" s="9">
        <f>100*L25/INDEX(Alkalis!G$3:G$12,MATCH($B$1,Alkalis!$A$3:$A$12,0))</f>
        <v>0.26893543862223052</v>
      </c>
      <c r="P25" s="9">
        <f>100*M25/INDEX(Alkalis!H$3:H$12,MATCH($B$1,Alkalis!$A$3:$A$12,0))</f>
        <v>0.24501256506042629</v>
      </c>
      <c r="Q25" s="23">
        <f>100*N25/INDEX(Alkalis!I$3:I$12,MATCH($B$1,Alkalis!$A$3:$A$12,0))</f>
        <v>0.25379024118221938</v>
      </c>
      <c r="R25" s="9">
        <f t="shared" si="19"/>
        <v>5.3249216847201641E-3</v>
      </c>
      <c r="S25" s="9">
        <f t="shared" si="20"/>
        <v>1.2721052377937333E-2</v>
      </c>
      <c r="T25" s="23">
        <f t="shared" si="21"/>
        <v>1.3695374149402931E-2</v>
      </c>
      <c r="U25"/>
      <c r="V25"/>
    </row>
    <row r="26" spans="1:22" x14ac:dyDescent="0.35">
      <c r="B26" s="1">
        <f t="shared" si="22"/>
        <v>57</v>
      </c>
      <c r="C26" s="4">
        <f t="shared" si="23"/>
        <v>44636</v>
      </c>
      <c r="D26" s="16">
        <v>25.1</v>
      </c>
      <c r="E26" s="16">
        <f t="shared" ref="E26:E33" si="27">D26/0.0129</f>
        <v>1945.7364341085272</v>
      </c>
      <c r="F26" s="1">
        <v>41.154463243097581</v>
      </c>
      <c r="G26" s="1">
        <v>95.226242783447532</v>
      </c>
      <c r="H26" s="16">
        <f t="shared" si="24"/>
        <v>107.92816936115345</v>
      </c>
      <c r="I26" s="16">
        <f t="shared" si="17"/>
        <v>249.73218574250262</v>
      </c>
      <c r="J26" s="16">
        <f>100*((H26/1000)/INDEX(Alkalis!$K$3:$K$12,MATCH($B$1,Alkalis!$A$3:$A$12,0)))</f>
        <v>0.45424313704189145</v>
      </c>
      <c r="K26" s="16">
        <f>100*((I26/1000)/INDEX(Alkalis!$K$3:$K$12,MATCH($B$1,Alkalis!$A$3:$A$12,0)))</f>
        <v>1.0510613878051456</v>
      </c>
      <c r="L26" s="7">
        <f t="shared" si="25"/>
        <v>2.0440941166885115E-3</v>
      </c>
      <c r="M26" s="7">
        <f t="shared" si="26"/>
        <v>4.7297762451231551E-3</v>
      </c>
      <c r="N26" s="23">
        <f t="shared" si="18"/>
        <v>5.1562868859795479E-3</v>
      </c>
      <c r="O26" s="9">
        <f>100*L26/INDEX(Alkalis!G$3:G$12,MATCH($B$1,Alkalis!$A$3:$A$12,0))</f>
        <v>0.45424313704189145</v>
      </c>
      <c r="P26" s="9">
        <f>100*M26/INDEX(Alkalis!H$3:H$12,MATCH($B$1,Alkalis!$A$3:$A$12,0))</f>
        <v>0.40082849534941994</v>
      </c>
      <c r="Q26" s="23">
        <f>100*N26/INDEX(Alkalis!I$3:I$12,MATCH($B$1,Alkalis!$A$3:$A$12,0))</f>
        <v>0.42042716202827268</v>
      </c>
      <c r="R26" s="9">
        <f t="shared" si="19"/>
        <v>8.9940141134294497E-3</v>
      </c>
      <c r="S26" s="9">
        <f t="shared" si="20"/>
        <v>2.0811015478541882E-2</v>
      </c>
      <c r="T26" s="23">
        <f t="shared" si="21"/>
        <v>2.2687662298310013E-2</v>
      </c>
      <c r="U26"/>
      <c r="V26"/>
    </row>
    <row r="27" spans="1:22" x14ac:dyDescent="0.35">
      <c r="B27" s="1">
        <f t="shared" si="22"/>
        <v>91</v>
      </c>
      <c r="C27" s="4">
        <f t="shared" si="23"/>
        <v>44670</v>
      </c>
      <c r="D27" s="16">
        <v>23</v>
      </c>
      <c r="E27" s="16">
        <f t="shared" si="27"/>
        <v>1782.9457364341085</v>
      </c>
      <c r="F27" s="1">
        <v>56.185167558037413</v>
      </c>
      <c r="G27" s="1">
        <v>124.77281494895985</v>
      </c>
      <c r="H27" s="16">
        <f t="shared" si="24"/>
        <v>135.01861971311317</v>
      </c>
      <c r="I27" s="16">
        <f t="shared" si="17"/>
        <v>299.8416483269578</v>
      </c>
      <c r="J27" s="16">
        <f>100*((H27/1000)/INDEX(Alkalis!$K$3:$K$12,MATCH($B$1,Alkalis!$A$3:$A$12,0)))</f>
        <v>0.56826018397774891</v>
      </c>
      <c r="K27" s="16">
        <f>100*((I27/1000)/INDEX(Alkalis!$K$3:$K$12,MATCH($B$1,Alkalis!$A$3:$A$12,0)))</f>
        <v>1.2619597993558826</v>
      </c>
      <c r="L27" s="7">
        <f t="shared" si="25"/>
        <v>2.5571708278998699E-3</v>
      </c>
      <c r="M27" s="7">
        <f t="shared" si="26"/>
        <v>5.6788190971014726E-3</v>
      </c>
      <c r="N27" s="23">
        <f t="shared" si="18"/>
        <v>6.2938337937926388E-3</v>
      </c>
      <c r="O27" s="9">
        <f>100*L27/INDEX(Alkalis!G$3:G$12,MATCH($B$1,Alkalis!$A$3:$A$12,0))</f>
        <v>0.56826018397774891</v>
      </c>
      <c r="P27" s="9">
        <f>100*M27/INDEX(Alkalis!H$3:H$12,MATCH($B$1,Alkalis!$A$3:$A$12,0))</f>
        <v>0.48125585568656554</v>
      </c>
      <c r="Q27" s="23">
        <f>100*N27/INDEX(Alkalis!I$3:I$12,MATCH($B$1,Alkalis!$A$3:$A$12,0))</f>
        <v>0.51317910324130322</v>
      </c>
      <c r="R27" s="9">
        <f t="shared" si="19"/>
        <v>1.1251551642759428E-2</v>
      </c>
      <c r="S27" s="9">
        <f t="shared" si="20"/>
        <v>2.4986804027246481E-2</v>
      </c>
      <c r="T27" s="23">
        <f t="shared" si="21"/>
        <v>2.7692868692687611E-2</v>
      </c>
      <c r="U27"/>
      <c r="V27"/>
    </row>
    <row r="28" spans="1:22" x14ac:dyDescent="0.35">
      <c r="B28" s="1">
        <f t="shared" si="22"/>
        <v>199</v>
      </c>
      <c r="C28" s="4">
        <f t="shared" si="23"/>
        <v>44778</v>
      </c>
      <c r="D28" s="16">
        <v>22</v>
      </c>
      <c r="E28" s="16">
        <f t="shared" si="27"/>
        <v>1705.4263565891472</v>
      </c>
      <c r="F28" s="1">
        <v>105.1866288204819</v>
      </c>
      <c r="G28" s="1">
        <v>227.57351527490934</v>
      </c>
      <c r="H28" s="16">
        <f t="shared" si="24"/>
        <v>241.78389233423877</v>
      </c>
      <c r="I28" s="16">
        <f t="shared" si="17"/>
        <v>523.10460875459444</v>
      </c>
      <c r="J28" s="16">
        <f>100*((H28/1000)/INDEX(Alkalis!$K$3:$K$12,MATCH($B$1,Alkalis!$A$3:$A$12,0)))</f>
        <v>1.0176089744707018</v>
      </c>
      <c r="K28" s="16">
        <f>100*((I28/1000)/INDEX(Alkalis!$K$3:$K$12,MATCH($B$1,Alkalis!$A$3:$A$12,0)))</f>
        <v>2.2016187237146227</v>
      </c>
      <c r="L28" s="7">
        <f t="shared" si="25"/>
        <v>4.5792403851181579E-3</v>
      </c>
      <c r="M28" s="7">
        <f t="shared" si="26"/>
        <v>9.907284256715802E-3</v>
      </c>
      <c r="N28" s="23">
        <f t="shared" si="18"/>
        <v>1.1098233426037156E-2</v>
      </c>
      <c r="O28" s="9">
        <f>100*L28/INDEX(Alkalis!G$3:G$12,MATCH($B$1,Alkalis!$A$3:$A$12,0))</f>
        <v>1.0176089744707018</v>
      </c>
      <c r="P28" s="9">
        <f>100*M28/INDEX(Alkalis!H$3:H$12,MATCH($B$1,Alkalis!$A$3:$A$12,0))</f>
        <v>0.83960036073862732</v>
      </c>
      <c r="Q28" s="23">
        <f>100*N28/INDEX(Alkalis!I$3:I$12,MATCH($B$1,Alkalis!$A$3:$A$12,0))</f>
        <v>0.90491450262851481</v>
      </c>
      <c r="R28" s="9">
        <f t="shared" si="19"/>
        <v>2.0148657694519897E-2</v>
      </c>
      <c r="S28" s="9">
        <f t="shared" si="20"/>
        <v>4.3592050729549525E-2</v>
      </c>
      <c r="T28" s="23">
        <f t="shared" si="21"/>
        <v>4.8832227074563486E-2</v>
      </c>
      <c r="U28"/>
      <c r="V28"/>
    </row>
    <row r="29" spans="1:22" x14ac:dyDescent="0.35">
      <c r="B29" s="1">
        <f t="shared" si="22"/>
        <v>373</v>
      </c>
      <c r="C29" s="4">
        <f t="shared" si="23"/>
        <v>44952</v>
      </c>
      <c r="D29" s="16">
        <v>16</v>
      </c>
      <c r="E29" s="16">
        <f t="shared" si="27"/>
        <v>1240.3100775193798</v>
      </c>
      <c r="F29" s="1">
        <v>724.14754731994856</v>
      </c>
      <c r="G29" s="1">
        <v>1359.8467228858374</v>
      </c>
      <c r="H29" s="16">
        <f t="shared" si="24"/>
        <v>1210.5735877003522</v>
      </c>
      <c r="I29" s="16">
        <f t="shared" si="17"/>
        <v>2273.2860618516188</v>
      </c>
      <c r="J29" s="16">
        <f>100*((H29/1000)/INDEX(Alkalis!$K$3:$K$12,MATCH($B$1,Alkalis!$A$3:$A$12,0)))</f>
        <v>5.0950066822405384</v>
      </c>
      <c r="K29" s="16">
        <f>100*((I29/1000)/INDEX(Alkalis!$K$3:$K$12,MATCH($B$1,Alkalis!$A$3:$A$12,0)))</f>
        <v>9.5677022805202778</v>
      </c>
      <c r="L29" s="7">
        <f t="shared" si="25"/>
        <v>2.2927530070082421E-2</v>
      </c>
      <c r="M29" s="7">
        <f t="shared" si="26"/>
        <v>4.3054660262341254E-2</v>
      </c>
      <c r="N29" s="23">
        <f t="shared" si="18"/>
        <v>5.1257496522702964E-2</v>
      </c>
      <c r="O29" s="9">
        <f>100*L29/INDEX(Alkalis!G$3:G$12,MATCH($B$1,Alkalis!$A$3:$A$12,0))</f>
        <v>5.0950066822405384</v>
      </c>
      <c r="P29" s="9">
        <f>100*M29/INDEX(Alkalis!H$3:H$12,MATCH($B$1,Alkalis!$A$3:$A$12,0))</f>
        <v>3.6487000222323096</v>
      </c>
      <c r="Q29" s="23">
        <f>100*N29/INDEX(Alkalis!I$3:I$12,MATCH($B$1,Alkalis!$A$3:$A$12,0))</f>
        <v>4.179372535362754</v>
      </c>
      <c r="R29" s="9">
        <f>440*L29/100</f>
        <v>0.10088113230836265</v>
      </c>
      <c r="S29" s="9">
        <f t="shared" si="20"/>
        <v>0.18944050515430153</v>
      </c>
      <c r="T29" s="23">
        <f t="shared" si="21"/>
        <v>0.22553298469989305</v>
      </c>
      <c r="U29"/>
      <c r="V29"/>
    </row>
    <row r="30" spans="1:22" x14ac:dyDescent="0.35">
      <c r="B30" s="1">
        <f t="shared" si="22"/>
        <v>464</v>
      </c>
      <c r="C30" s="4">
        <f t="shared" si="23"/>
        <v>45043</v>
      </c>
      <c r="D30" s="16">
        <v>27</v>
      </c>
      <c r="E30" s="16">
        <f t="shared" si="27"/>
        <v>2093.0232558139537</v>
      </c>
      <c r="F30" s="1">
        <f>100*6.42452951399912</f>
        <v>642.45295139991208</v>
      </c>
      <c r="G30" s="1">
        <f>100*11.2100862894865</f>
        <v>1121.0086289486499</v>
      </c>
      <c r="H30" s="16">
        <f t="shared" si="24"/>
        <v>1812.3799134537462</v>
      </c>
      <c r="I30" s="16">
        <f t="shared" si="17"/>
        <v>3162.4004800472535</v>
      </c>
      <c r="J30" s="16">
        <f>100*((H30/1000)/INDEX(Alkalis!$K$3:$K$12,MATCH($B$1,Alkalis!$A$3:$A$12,0)))</f>
        <v>7.6278615886100409</v>
      </c>
      <c r="K30" s="16">
        <f>100*((I30/1000)/INDEX(Alkalis!$K$3:$K$12,MATCH($B$1,Alkalis!$A$3:$A$12,0)))</f>
        <v>13.309766330165203</v>
      </c>
      <c r="L30" s="7">
        <f>L29+100*((H30-H29)/1000)/(2*440*0.1*0.1*0.4*1000)</f>
        <v>4.0024300688076567E-2</v>
      </c>
      <c r="M30" s="7">
        <f>M29+100*((I30-I29)/1000)/(2*440*0.1*0.1*0.4*1000)</f>
        <v>6.8313592597444517E-2</v>
      </c>
      <c r="N30" s="23">
        <f t="shared" si="18"/>
        <v>8.4974644617195061E-2</v>
      </c>
      <c r="O30" s="9">
        <f>100*L30/INDEX(Alkalis!G$3:G$12,MATCH($B$1,Alkalis!$A$3:$A$12,0))</f>
        <v>8.8942890417947922</v>
      </c>
      <c r="P30" s="9">
        <f>100*M30/INDEX(Alkalis!H$3:H$12,MATCH($B$1,Alkalis!$A$3:$A$12,0))</f>
        <v>5.7892875082580106</v>
      </c>
      <c r="Q30" s="23">
        <f>100*N30/INDEX(Alkalis!I$3:I$12,MATCH($B$1,Alkalis!$A$3:$A$12,0))</f>
        <v>6.9285610887768714</v>
      </c>
      <c r="R30" s="9">
        <f t="shared" si="19"/>
        <v>0.17610692302753692</v>
      </c>
      <c r="S30" s="9">
        <f t="shared" si="20"/>
        <v>0.30057980742875584</v>
      </c>
      <c r="T30" s="23">
        <f t="shared" si="21"/>
        <v>0.37388843631565827</v>
      </c>
      <c r="U30"/>
      <c r="V30"/>
    </row>
    <row r="31" spans="1:22" x14ac:dyDescent="0.35">
      <c r="B31" s="1">
        <f t="shared" si="22"/>
        <v>562</v>
      </c>
      <c r="C31" s="4">
        <f t="shared" si="23"/>
        <v>45141</v>
      </c>
      <c r="D31" s="16">
        <v>25.3</v>
      </c>
      <c r="E31" s="16">
        <f t="shared" si="27"/>
        <v>1961.2403100775193</v>
      </c>
      <c r="F31" s="1">
        <f>100*7.48734972581031</f>
        <v>748.734972581031</v>
      </c>
      <c r="G31" s="1">
        <f>100*13.4162079465151</f>
        <v>1341.6207946515099</v>
      </c>
      <c r="H31" s="16">
        <f>IF(ISBLANK(F31),NA(),F31*62/(23*2)*$E31/1000)</f>
        <v>1979.2141523266014</v>
      </c>
      <c r="I31" s="16">
        <f t="shared" si="17"/>
        <v>3546.4549688074794</v>
      </c>
      <c r="J31" s="16">
        <f>100*((H31/1000)/INDEX(Alkalis!$K$3:$K$12,MATCH($B$1,Alkalis!$A$3:$A$12,0)))</f>
        <v>8.3300258936304754</v>
      </c>
      <c r="K31" s="16">
        <f>100*((I31/1000)/INDEX(Alkalis!$K$3:$K$12,MATCH($B$1,Alkalis!$A$3:$A$12,0)))</f>
        <v>14.926157276125751</v>
      </c>
      <c r="L31" s="7">
        <f>L30+100*((H31-H30)/1000)/(2*440*0.1*0.1*0.4*1000)</f>
        <v>4.4763909746964495E-2</v>
      </c>
      <c r="M31" s="7">
        <f t="shared" ref="M31:M33" si="28">M30+100*((I31-I30)/1000)/(2*440*0.1*0.1*0.4*1000)</f>
        <v>7.9224231482678209E-2</v>
      </c>
      <c r="N31" s="23">
        <f t="shared" ref="N31:N33" si="29">L31+0.658*M31</f>
        <v>9.6893454062566761E-2</v>
      </c>
      <c r="O31" s="9">
        <f>100*L31/INDEX(Alkalis!G$3:G$12,MATCH($B$1,Alkalis!$A$3:$A$12,0))</f>
        <v>9.9475354993254417</v>
      </c>
      <c r="P31" s="9">
        <f>100*M31/INDEX(Alkalis!H$3:H$12,MATCH($B$1,Alkalis!$A$3:$A$12,0))</f>
        <v>6.7139179222608663</v>
      </c>
      <c r="Q31" s="23">
        <f>100*N31/INDEX(Alkalis!I$3:I$12,MATCH($B$1,Alkalis!$A$3:$A$12,0))</f>
        <v>7.9003827388675161</v>
      </c>
      <c r="R31" s="9">
        <f t="shared" ref="R31:R33" si="30">440*L31/100</f>
        <v>0.19696120288664379</v>
      </c>
      <c r="S31" s="9">
        <f t="shared" ref="S31:S33" si="31">440*M31/100</f>
        <v>0.34858661852378409</v>
      </c>
      <c r="T31" s="23">
        <f>440*N31/100</f>
        <v>0.42633119787529372</v>
      </c>
      <c r="U31"/>
      <c r="V31"/>
    </row>
    <row r="32" spans="1:22" x14ac:dyDescent="0.35">
      <c r="B32" s="1">
        <f t="shared" si="22"/>
        <v>730</v>
      </c>
      <c r="C32" s="4">
        <f t="shared" si="23"/>
        <v>45309</v>
      </c>
      <c r="D32" s="16">
        <v>9</v>
      </c>
      <c r="E32" s="16">
        <f t="shared" si="27"/>
        <v>697.67441860465112</v>
      </c>
      <c r="F32" s="1">
        <f>100*24.8217222819237</f>
        <v>2482.1722281923703</v>
      </c>
      <c r="G32" s="1">
        <f>100*47.0330794149882</f>
        <v>4703.3079414988197</v>
      </c>
      <c r="H32" s="16">
        <f t="shared" si="24"/>
        <v>2334.0952196348881</v>
      </c>
      <c r="I32" s="16">
        <f t="shared" si="17"/>
        <v>4422.7263757268984</v>
      </c>
      <c r="J32" s="16">
        <f>100*((H32/1000)/INDEX(Alkalis!$K$3:$K$12,MATCH($B$1,Alkalis!$A$3:$A$12,0)))</f>
        <v>9.8236330792714135</v>
      </c>
      <c r="K32" s="16">
        <f>100*((I32/1000)/INDEX(Alkalis!$K$3:$K$12,MATCH($B$1,Alkalis!$A$3:$A$12,0)))</f>
        <v>18.614168248008827</v>
      </c>
      <c r="L32" s="7">
        <f t="shared" ref="L32:L33" si="32">L31+100*((H32-H31)/1000)/(2*440*0.1*0.1*0.4*1000)</f>
        <v>5.4845758250040816E-2</v>
      </c>
      <c r="M32" s="7">
        <f t="shared" si="28"/>
        <v>0.10411830554288898</v>
      </c>
      <c r="N32" s="23">
        <f t="shared" si="29"/>
        <v>0.12335560329726176</v>
      </c>
      <c r="O32" s="9">
        <f>100*L32/INDEX(Alkalis!G$3:G$12,MATCH($B$1,Alkalis!$A$3:$A$12,0))</f>
        <v>12.187946277786848</v>
      </c>
      <c r="P32" s="9">
        <f>100*M32/INDEX(Alkalis!H$3:H$12,MATCH($B$1,Alkalis!$A$3:$A$12,0))</f>
        <v>8.823585215499067</v>
      </c>
      <c r="Q32" s="23">
        <f>100*N32/INDEX(Alkalis!I$3:I$12,MATCH($B$1,Alkalis!$A$3:$A$12,0))</f>
        <v>10.058021859794344</v>
      </c>
      <c r="R32" s="9">
        <f t="shared" si="30"/>
        <v>0.24132133630017957</v>
      </c>
      <c r="S32" s="9">
        <f t="shared" si="31"/>
        <v>0.45812054438871153</v>
      </c>
      <c r="T32" s="23">
        <f t="shared" ref="T32:T33" si="33">440*N32/100</f>
        <v>0.54276465450795175</v>
      </c>
      <c r="U32"/>
      <c r="V32"/>
    </row>
    <row r="33" spans="2:22" x14ac:dyDescent="0.35">
      <c r="B33" s="1" t="e">
        <f t="shared" si="22"/>
        <v>#N/A</v>
      </c>
      <c r="C33" s="4">
        <f t="shared" si="23"/>
        <v>0</v>
      </c>
      <c r="D33" s="16"/>
      <c r="E33" s="16">
        <f t="shared" si="27"/>
        <v>0</v>
      </c>
      <c r="F33" s="1"/>
      <c r="G33" s="1"/>
      <c r="H33" s="16" t="e">
        <f t="shared" si="24"/>
        <v>#N/A</v>
      </c>
      <c r="I33" s="16" t="e">
        <f t="shared" si="17"/>
        <v>#N/A</v>
      </c>
      <c r="J33" s="16" t="e">
        <f>100*((H33/1000)/INDEX(Alkalis!$K$3:$K$12,MATCH($B$1,Alkalis!$A$3:$A$12,0)))</f>
        <v>#N/A</v>
      </c>
      <c r="K33" s="16" t="e">
        <f>100*((I33/1000)/INDEX(Alkalis!$K$3:$K$12,MATCH($B$1,Alkalis!$A$3:$A$12,0)))</f>
        <v>#N/A</v>
      </c>
      <c r="L33" s="7" t="e">
        <f t="shared" si="32"/>
        <v>#N/A</v>
      </c>
      <c r="M33" s="7" t="e">
        <f t="shared" si="28"/>
        <v>#N/A</v>
      </c>
      <c r="N33" s="23" t="e">
        <f t="shared" si="29"/>
        <v>#N/A</v>
      </c>
      <c r="O33" s="9" t="e">
        <f>100*L33/INDEX(Alkalis!G$3:G$12,MATCH($B$1,Alkalis!$A$3:$A$12,0))</f>
        <v>#N/A</v>
      </c>
      <c r="P33" s="9" t="e">
        <f>100*M33/INDEX(Alkalis!H$3:H$12,MATCH($B$1,Alkalis!$A$3:$A$12,0))</f>
        <v>#N/A</v>
      </c>
      <c r="Q33" s="23" t="e">
        <f>100*N33/INDEX(Alkalis!I$3:I$12,MATCH($B$1,Alkalis!$A$3:$A$12,0))</f>
        <v>#N/A</v>
      </c>
      <c r="R33" s="9" t="e">
        <f t="shared" si="30"/>
        <v>#N/A</v>
      </c>
      <c r="S33" s="9" t="e">
        <f t="shared" si="31"/>
        <v>#N/A</v>
      </c>
      <c r="T33" s="23" t="e">
        <f t="shared" si="33"/>
        <v>#N/A</v>
      </c>
      <c r="U33"/>
      <c r="V33"/>
    </row>
    <row r="34" spans="2:22" x14ac:dyDescent="0.35">
      <c r="U34"/>
      <c r="V34"/>
    </row>
    <row r="35" spans="2:22" x14ac:dyDescent="0.35">
      <c r="U35"/>
      <c r="V35"/>
    </row>
  </sheetData>
  <mergeCells count="20">
    <mergeCell ref="A7:A17"/>
    <mergeCell ref="R3:R4"/>
    <mergeCell ref="B6:C6"/>
    <mergeCell ref="L5:M5"/>
    <mergeCell ref="P3:P4"/>
    <mergeCell ref="Q3:Q4"/>
    <mergeCell ref="D3:G3"/>
    <mergeCell ref="L3:O3"/>
    <mergeCell ref="H3:K3"/>
    <mergeCell ref="B1:C1"/>
    <mergeCell ref="B3:C4"/>
    <mergeCell ref="B5:C5"/>
    <mergeCell ref="D5:E5"/>
    <mergeCell ref="H5:I5"/>
    <mergeCell ref="C22:C23"/>
    <mergeCell ref="H22:I22"/>
    <mergeCell ref="F22:G22"/>
    <mergeCell ref="J22:T22"/>
    <mergeCell ref="T3:T4"/>
    <mergeCell ref="S3:S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3AE2E-D89C-4027-ABB6-A6A07D62CF06}">
  <sheetPr>
    <tabColor theme="8"/>
  </sheetPr>
  <dimension ref="A1:V36"/>
  <sheetViews>
    <sheetView zoomScale="55" zoomScaleNormal="55" workbookViewId="0">
      <selection activeCell="P38" sqref="P38"/>
    </sheetView>
  </sheetViews>
  <sheetFormatPr defaultColWidth="8.81640625" defaultRowHeight="14.5" x14ac:dyDescent="0.35"/>
  <cols>
    <col min="1" max="1" width="3.54296875" style="17" bestFit="1" customWidth="1"/>
    <col min="2" max="2" width="15.26953125" style="17" bestFit="1" customWidth="1"/>
    <col min="3" max="3" width="15.26953125" style="17" customWidth="1"/>
    <col min="4" max="4" width="13.7265625" style="17" bestFit="1" customWidth="1"/>
    <col min="5" max="5" width="13.81640625" style="17" bestFit="1" customWidth="1"/>
    <col min="6" max="7" width="13.81640625" style="17" customWidth="1"/>
    <col min="8" max="8" width="13.7265625" style="17" bestFit="1" customWidth="1"/>
    <col min="9" max="9" width="13.81640625" style="17" bestFit="1" customWidth="1"/>
    <col min="10" max="11" width="13.81640625" style="17" customWidth="1"/>
    <col min="12" max="12" width="14.7265625" style="17" bestFit="1" customWidth="1"/>
    <col min="13" max="13" width="13.81640625" style="17" bestFit="1" customWidth="1"/>
    <col min="14" max="15" width="13.81640625" style="17" customWidth="1"/>
    <col min="16" max="16" width="17.26953125" style="17" bestFit="1" customWidth="1"/>
    <col min="17" max="17" width="16.26953125" style="17" bestFit="1" customWidth="1"/>
    <col min="18" max="18" width="18.26953125" style="17" customWidth="1"/>
    <col min="19" max="19" width="16.453125" style="17" bestFit="1" customWidth="1"/>
    <col min="20" max="20" width="15.1796875" style="17" bestFit="1" customWidth="1"/>
    <col min="21" max="21" width="16.26953125" style="17" bestFit="1" customWidth="1"/>
    <col min="22" max="22" width="18.7265625" style="17" bestFit="1" customWidth="1"/>
    <col min="23" max="16384" width="8.81640625" style="17"/>
  </cols>
  <sheetData>
    <row r="1" spans="1:20" x14ac:dyDescent="0.35">
      <c r="B1" s="41" t="s">
        <v>104</v>
      </c>
      <c r="C1" s="41"/>
    </row>
    <row r="3" spans="1:20" ht="14.5" customHeight="1" x14ac:dyDescent="0.35">
      <c r="B3" s="42" t="s">
        <v>3</v>
      </c>
      <c r="C3" s="43"/>
      <c r="D3" s="46" t="s">
        <v>25</v>
      </c>
      <c r="E3" s="53"/>
      <c r="F3" s="53"/>
      <c r="G3" s="47"/>
      <c r="H3" s="46" t="s">
        <v>26</v>
      </c>
      <c r="I3" s="53"/>
      <c r="J3" s="53"/>
      <c r="K3" s="47"/>
      <c r="L3" s="46" t="s">
        <v>27</v>
      </c>
      <c r="M3" s="53"/>
      <c r="N3" s="53"/>
      <c r="O3" s="47"/>
      <c r="P3" s="51" t="s">
        <v>103</v>
      </c>
      <c r="Q3" s="39" t="s">
        <v>82</v>
      </c>
      <c r="R3" s="51" t="s">
        <v>38</v>
      </c>
      <c r="S3" s="51" t="s">
        <v>81</v>
      </c>
      <c r="T3" s="39" t="s">
        <v>82</v>
      </c>
    </row>
    <row r="4" spans="1:20" ht="14.5" customHeight="1" x14ac:dyDescent="0.35">
      <c r="B4" s="44"/>
      <c r="C4" s="45"/>
      <c r="D4" s="1" t="s">
        <v>80</v>
      </c>
      <c r="E4" s="1" t="s">
        <v>102</v>
      </c>
      <c r="F4" s="15" t="s">
        <v>15</v>
      </c>
      <c r="G4" s="15" t="s">
        <v>83</v>
      </c>
      <c r="H4" s="1" t="s">
        <v>80</v>
      </c>
      <c r="I4" s="1" t="s">
        <v>102</v>
      </c>
      <c r="J4" s="15" t="s">
        <v>15</v>
      </c>
      <c r="K4" s="15" t="s">
        <v>83</v>
      </c>
      <c r="L4" s="1" t="s">
        <v>80</v>
      </c>
      <c r="M4" s="1" t="s">
        <v>102</v>
      </c>
      <c r="N4" s="15" t="s">
        <v>15</v>
      </c>
      <c r="O4" s="15" t="s">
        <v>83</v>
      </c>
      <c r="P4" s="51"/>
      <c r="Q4" s="39"/>
      <c r="R4" s="51"/>
      <c r="S4" s="51"/>
      <c r="T4" s="39"/>
    </row>
    <row r="5" spans="1:20" ht="16.5" x14ac:dyDescent="0.35">
      <c r="A5" s="20"/>
      <c r="B5" s="46" t="s">
        <v>1</v>
      </c>
      <c r="C5" s="47"/>
      <c r="D5" s="39">
        <v>400</v>
      </c>
      <c r="E5" s="39"/>
      <c r="F5" s="1"/>
      <c r="G5" s="1"/>
      <c r="H5" s="39">
        <v>400</v>
      </c>
      <c r="I5" s="39"/>
      <c r="J5" s="1"/>
      <c r="K5" s="1"/>
      <c r="L5" s="39">
        <v>400</v>
      </c>
      <c r="M5" s="39"/>
      <c r="N5" s="1"/>
      <c r="O5" s="1"/>
      <c r="P5" s="2"/>
      <c r="Q5" s="2"/>
      <c r="R5" s="2"/>
      <c r="S5" s="2"/>
      <c r="T5" s="2"/>
    </row>
    <row r="6" spans="1:20" x14ac:dyDescent="0.35">
      <c r="A6" s="20"/>
      <c r="B6" s="46" t="s">
        <v>2</v>
      </c>
      <c r="C6" s="47"/>
      <c r="D6" s="7">
        <v>-4.4565000000000001</v>
      </c>
      <c r="E6" s="5">
        <f>100*(D7-$D$6)/$D$5</f>
        <v>1.2625000000000108E-2</v>
      </c>
      <c r="F6" s="16">
        <v>9438.1</v>
      </c>
      <c r="G6" s="16"/>
      <c r="H6" s="7">
        <v>-3.8195000000000001</v>
      </c>
      <c r="I6" s="5">
        <f>100*(H7-$H$6)/$H$5</f>
        <v>5.2499999999999769E-3</v>
      </c>
      <c r="J6" s="16">
        <v>9398.1</v>
      </c>
      <c r="K6" s="16"/>
      <c r="L6" s="7">
        <v>-3.9045000000000001</v>
      </c>
      <c r="M6" s="5">
        <f>100*(L7-$L$6)/$L$5</f>
        <v>5.7500000000000329E-3</v>
      </c>
      <c r="N6" s="16">
        <v>9462.7000000000007</v>
      </c>
      <c r="O6" s="16"/>
      <c r="P6" s="6">
        <f>IF(ISBLANK(D6),NA(),AVERAGE(E6,I6,M6))</f>
        <v>7.87500000000004E-3</v>
      </c>
      <c r="Q6" s="6">
        <f>IF(ISBLANK(D6),NA(),_xlfn.STDEV.P(E6,I6,M6))</f>
        <v>3.3649541849283776E-3</v>
      </c>
      <c r="R6" s="24"/>
      <c r="S6" s="2"/>
      <c r="T6" s="2"/>
    </row>
    <row r="7" spans="1:20" ht="15" customHeight="1" x14ac:dyDescent="0.35">
      <c r="A7" s="52" t="s">
        <v>0</v>
      </c>
      <c r="B7" s="1">
        <v>1</v>
      </c>
      <c r="C7" s="4">
        <v>44582</v>
      </c>
      <c r="D7" s="7">
        <v>-4.4059999999999997</v>
      </c>
      <c r="E7" s="3">
        <f>IF(ISBLANK(D7),NA(),100*(D7-$D$7)/$D$5)</f>
        <v>0</v>
      </c>
      <c r="F7" s="16">
        <v>9433.7000000000007</v>
      </c>
      <c r="G7" s="3">
        <f>IF(ISBLANK(F7),NA(),100*(F7-$F$7)/$F$7)</f>
        <v>0</v>
      </c>
      <c r="H7" s="7">
        <v>-3.7985000000000002</v>
      </c>
      <c r="I7" s="3">
        <f>IF(ISBLANK(H7),NA(),100*(H7-$H$7)/$H$5)</f>
        <v>0</v>
      </c>
      <c r="J7" s="16">
        <v>9389.7000000000007</v>
      </c>
      <c r="K7" s="3">
        <f>IF(ISBLANK(J7),NA(),100*(J7-$J$7)/$J$7)</f>
        <v>0</v>
      </c>
      <c r="L7" s="7">
        <v>-3.8815</v>
      </c>
      <c r="M7" s="3">
        <f>100*(L7-$L$7)/$L$5</f>
        <v>0</v>
      </c>
      <c r="N7" s="16">
        <v>9458</v>
      </c>
      <c r="O7" s="3">
        <f>IF(ISBLANK(N7),NA(),100*(N7-$N$7)/$N$7)</f>
        <v>0</v>
      </c>
      <c r="P7" s="23">
        <f t="shared" ref="P7:P13" si="0">IF(ISBLANK(D7),NA(),AVERAGE(E7,I7,M7))</f>
        <v>0</v>
      </c>
      <c r="Q7" s="8">
        <f t="shared" ref="Q7:Q13" si="1">IF(ISBLANK(D7),NA(),_xlfn.STDEV.P(E7,I7,M7))</f>
        <v>0</v>
      </c>
      <c r="R7" s="8"/>
      <c r="S7" s="23">
        <f>AVERAGE(G7,K7,O7)</f>
        <v>0</v>
      </c>
      <c r="T7" s="9">
        <f>_xlfn.STDEV.P(G7,K7,O7)</f>
        <v>0</v>
      </c>
    </row>
    <row r="8" spans="1:20" x14ac:dyDescent="0.35">
      <c r="A8" s="52"/>
      <c r="B8" s="1">
        <f>IF(ISBLANK(C8),NA(),C8-C$7+1)</f>
        <v>7</v>
      </c>
      <c r="C8" s="4">
        <v>44588</v>
      </c>
      <c r="D8" s="7">
        <v>-4.2270000000000003</v>
      </c>
      <c r="E8" s="3">
        <f t="shared" ref="E8:E17" si="2">IF(ISBLANK(D8),NA(),100*(D8-$D$7)/$D$5)</f>
        <v>4.4749999999999845E-2</v>
      </c>
      <c r="F8" s="16">
        <v>9433.6</v>
      </c>
      <c r="G8" s="3">
        <f t="shared" ref="G8:G17" si="3">IF(ISBLANK(F8),NA(),100*(F8-$F$7)/$F$7)</f>
        <v>-1.0600294688230894E-3</v>
      </c>
      <c r="H8" s="7">
        <v>-3.6315</v>
      </c>
      <c r="I8" s="3">
        <f t="shared" ref="I8:I17" si="4">IF(ISBLANK(H8),NA(),100*(H8-$H$7)/$H$5)</f>
        <v>4.1750000000000058E-2</v>
      </c>
      <c r="J8" s="16">
        <v>9383.7000000000007</v>
      </c>
      <c r="K8" s="3">
        <f t="shared" ref="K8:K17" si="5">IF(ISBLANK(J8),NA(),100*(J8-$J$7)/$J$7)</f>
        <v>-6.3899805105594426E-2</v>
      </c>
      <c r="L8" s="7">
        <v>-3.7364999999999999</v>
      </c>
      <c r="M8" s="3">
        <f t="shared" ref="M8:M17" si="6">100*(L8-$L$7)/$L$5</f>
        <v>3.6250000000000004E-2</v>
      </c>
      <c r="N8" s="16">
        <v>9452</v>
      </c>
      <c r="O8" s="3">
        <f t="shared" ref="O8:O17" si="7">IF(ISBLANK(N8),NA(),100*(N8-$N$7)/$N$7)</f>
        <v>-6.3438359061112282E-2</v>
      </c>
      <c r="P8" s="23">
        <f t="shared" si="0"/>
        <v>4.0916666666666636E-2</v>
      </c>
      <c r="Q8" s="8">
        <f t="shared" si="1"/>
        <v>3.5197853469904256E-3</v>
      </c>
      <c r="R8" s="8" t="s">
        <v>39</v>
      </c>
      <c r="S8" s="23">
        <f t="shared" ref="S8:S14" si="8">AVERAGE(G8,K8,O8)</f>
        <v>-4.2799397878509927E-2</v>
      </c>
      <c r="T8" s="9">
        <f t="shared" ref="T8:T14" si="9">_xlfn.STDEV.P(G8,K8,O8)</f>
        <v>2.951479165370775E-2</v>
      </c>
    </row>
    <row r="9" spans="1:20" x14ac:dyDescent="0.35">
      <c r="A9" s="52"/>
      <c r="B9" s="1">
        <f t="shared" ref="B9:B17" si="10">IF(ISBLANK(C9),NA(),C9-C$7+1)</f>
        <v>27</v>
      </c>
      <c r="C9" s="4">
        <v>44608</v>
      </c>
      <c r="D9" s="7">
        <v>-4.258</v>
      </c>
      <c r="E9" s="3">
        <f t="shared" si="2"/>
        <v>3.6999999999999922E-2</v>
      </c>
      <c r="F9" s="16">
        <v>9444.1</v>
      </c>
      <c r="G9" s="3">
        <f t="shared" si="3"/>
        <v>0.11024306475719639</v>
      </c>
      <c r="H9" s="7">
        <v>-3.6760000000000002</v>
      </c>
      <c r="I9" s="3">
        <f t="shared" si="4"/>
        <v>3.0625000000000013E-2</v>
      </c>
      <c r="J9" s="16">
        <v>9391</v>
      </c>
      <c r="K9" s="3">
        <f t="shared" si="5"/>
        <v>1.3844957772871043E-2</v>
      </c>
      <c r="L9" s="7">
        <v>-3.71</v>
      </c>
      <c r="M9" s="3">
        <f t="shared" si="6"/>
        <v>4.2874999999999996E-2</v>
      </c>
      <c r="N9" s="16">
        <v>9461.9</v>
      </c>
      <c r="O9" s="3">
        <f t="shared" si="7"/>
        <v>4.123493338971914E-2</v>
      </c>
      <c r="P9" s="23">
        <f t="shared" si="0"/>
        <v>3.6833333333333308E-2</v>
      </c>
      <c r="Q9" s="8">
        <f t="shared" si="1"/>
        <v>5.0024299650825175E-3</v>
      </c>
      <c r="R9" s="8" t="s">
        <v>47</v>
      </c>
      <c r="S9" s="23">
        <f t="shared" si="8"/>
        <v>5.5107651973262194E-2</v>
      </c>
      <c r="T9" s="9">
        <f t="shared" si="9"/>
        <v>4.0558500943813615E-2</v>
      </c>
    </row>
    <row r="10" spans="1:20" x14ac:dyDescent="0.35">
      <c r="A10" s="52"/>
      <c r="B10" s="1">
        <f t="shared" si="10"/>
        <v>55</v>
      </c>
      <c r="C10" s="4">
        <v>44636</v>
      </c>
      <c r="D10" s="7">
        <v>-3.88</v>
      </c>
      <c r="E10" s="3">
        <f t="shared" si="2"/>
        <v>0.13149999999999995</v>
      </c>
      <c r="F10" s="16">
        <v>9453.6</v>
      </c>
      <c r="G10" s="3">
        <f t="shared" si="3"/>
        <v>0.21094586429502352</v>
      </c>
      <c r="H10" s="7">
        <v>-3.246</v>
      </c>
      <c r="I10" s="3">
        <f t="shared" si="4"/>
        <v>0.13812500000000005</v>
      </c>
      <c r="J10" s="16">
        <v>9401.9</v>
      </c>
      <c r="K10" s="3">
        <f t="shared" si="5"/>
        <v>0.12992960371469703</v>
      </c>
      <c r="L10" s="7">
        <v>-3.347</v>
      </c>
      <c r="M10" s="3">
        <f t="shared" si="6"/>
        <v>0.13362499999999999</v>
      </c>
      <c r="N10" s="16">
        <v>9472.2999999999993</v>
      </c>
      <c r="O10" s="3">
        <f t="shared" si="7"/>
        <v>0.15119475576230992</v>
      </c>
      <c r="P10" s="23">
        <f t="shared" si="0"/>
        <v>0.13441666666666666</v>
      </c>
      <c r="Q10" s="8">
        <f t="shared" si="1"/>
        <v>2.7619689031961338E-3</v>
      </c>
      <c r="R10" s="8"/>
      <c r="S10" s="23">
        <f t="shared" si="8"/>
        <v>0.16402340792401016</v>
      </c>
      <c r="T10" s="9">
        <f t="shared" si="9"/>
        <v>3.4296154855603111E-2</v>
      </c>
    </row>
    <row r="11" spans="1:20" x14ac:dyDescent="0.35">
      <c r="A11" s="52"/>
      <c r="B11" s="1">
        <f t="shared" si="10"/>
        <v>89</v>
      </c>
      <c r="C11" s="4">
        <v>44670</v>
      </c>
      <c r="D11" s="7">
        <v>-3.6829999999999998</v>
      </c>
      <c r="E11" s="3">
        <f t="shared" si="2"/>
        <v>0.18074999999999997</v>
      </c>
      <c r="F11" s="16">
        <v>9465.4</v>
      </c>
      <c r="G11" s="3">
        <f t="shared" si="3"/>
        <v>0.33602934161568532</v>
      </c>
      <c r="H11" s="7">
        <v>-3.073</v>
      </c>
      <c r="I11" s="3">
        <f t="shared" si="4"/>
        <v>0.18137500000000006</v>
      </c>
      <c r="J11" s="16">
        <v>9411.9</v>
      </c>
      <c r="K11" s="3">
        <f t="shared" si="5"/>
        <v>0.23642927889068774</v>
      </c>
      <c r="L11" s="7">
        <v>-3.1819999999999999</v>
      </c>
      <c r="M11" s="3">
        <f t="shared" si="6"/>
        <v>0.174875</v>
      </c>
      <c r="N11" s="16">
        <v>9478</v>
      </c>
      <c r="O11" s="3">
        <f t="shared" si="7"/>
        <v>0.21146119687037429</v>
      </c>
      <c r="P11" s="23">
        <f t="shared" si="0"/>
        <v>0.17900000000000002</v>
      </c>
      <c r="Q11" s="8">
        <f t="shared" si="1"/>
        <v>2.9279543484601531E-3</v>
      </c>
      <c r="R11" s="8" t="s">
        <v>62</v>
      </c>
      <c r="S11" s="23">
        <f t="shared" si="8"/>
        <v>0.26130660579224912</v>
      </c>
      <c r="T11" s="9">
        <f t="shared" si="9"/>
        <v>5.3811192866958679E-2</v>
      </c>
    </row>
    <row r="12" spans="1:20" x14ac:dyDescent="0.35">
      <c r="A12" s="52"/>
      <c r="B12" s="1">
        <f t="shared" si="10"/>
        <v>197</v>
      </c>
      <c r="C12" s="4">
        <v>44778</v>
      </c>
      <c r="D12" s="7">
        <v>-3.4279999999999999</v>
      </c>
      <c r="E12" s="3">
        <f t="shared" si="2"/>
        <v>0.24449999999999997</v>
      </c>
      <c r="F12" s="16">
        <v>9480</v>
      </c>
      <c r="G12" s="3">
        <f t="shared" si="3"/>
        <v>0.49079364406329723</v>
      </c>
      <c r="H12" s="7">
        <v>-2.9049999999999998</v>
      </c>
      <c r="I12" s="3">
        <f t="shared" si="4"/>
        <v>0.2233750000000001</v>
      </c>
      <c r="J12" s="16">
        <v>9435</v>
      </c>
      <c r="K12" s="3">
        <f t="shared" si="5"/>
        <v>0.48244352854723016</v>
      </c>
      <c r="L12" s="7">
        <v>-3.0019999999999998</v>
      </c>
      <c r="M12" s="3">
        <f t="shared" si="6"/>
        <v>0.21987500000000004</v>
      </c>
      <c r="N12" s="16">
        <v>9490</v>
      </c>
      <c r="O12" s="3">
        <f t="shared" si="7"/>
        <v>0.33833791499259885</v>
      </c>
      <c r="P12" s="23">
        <f t="shared" si="0"/>
        <v>0.22925000000000004</v>
      </c>
      <c r="Q12" s="8">
        <f t="shared" si="1"/>
        <v>1.0877633780683448E-2</v>
      </c>
      <c r="R12" s="8"/>
      <c r="S12" s="23">
        <f t="shared" si="8"/>
        <v>0.43719169586770873</v>
      </c>
      <c r="T12" s="9">
        <f t="shared" si="9"/>
        <v>6.9983253245621033E-2</v>
      </c>
    </row>
    <row r="13" spans="1:20" x14ac:dyDescent="0.35">
      <c r="A13" s="52"/>
      <c r="B13" s="1">
        <f t="shared" si="10"/>
        <v>371</v>
      </c>
      <c r="C13" s="4">
        <v>44952</v>
      </c>
      <c r="D13" s="7">
        <v>-3.3</v>
      </c>
      <c r="E13" s="3">
        <f t="shared" si="2"/>
        <v>0.27649999999999997</v>
      </c>
      <c r="F13" s="16">
        <v>9525</v>
      </c>
      <c r="G13" s="3">
        <f t="shared" si="3"/>
        <v>0.9678069050319521</v>
      </c>
      <c r="H13" s="7">
        <v>-2.7589999999999999</v>
      </c>
      <c r="I13" s="3">
        <f t="shared" si="4"/>
        <v>0.25987500000000008</v>
      </c>
      <c r="J13" s="16">
        <v>9510</v>
      </c>
      <c r="K13" s="3">
        <f t="shared" si="5"/>
        <v>1.2811910923671603</v>
      </c>
      <c r="L13" s="7">
        <v>-2.87</v>
      </c>
      <c r="M13" s="3">
        <f t="shared" si="6"/>
        <v>0.25287499999999996</v>
      </c>
      <c r="N13" s="16">
        <v>9560</v>
      </c>
      <c r="O13" s="3">
        <f t="shared" si="7"/>
        <v>1.0784521040389088</v>
      </c>
      <c r="P13" s="23">
        <f t="shared" si="0"/>
        <v>0.26308333333333334</v>
      </c>
      <c r="Q13" s="8">
        <f t="shared" si="1"/>
        <v>9.9080845216867573E-3</v>
      </c>
      <c r="R13" s="8"/>
      <c r="S13" s="23">
        <f t="shared" si="8"/>
        <v>1.1091500338126739</v>
      </c>
      <c r="T13" s="9">
        <f t="shared" si="9"/>
        <v>0.12976693052606028</v>
      </c>
    </row>
    <row r="14" spans="1:20" x14ac:dyDescent="0.35">
      <c r="A14" s="52"/>
      <c r="B14" s="1">
        <f t="shared" si="10"/>
        <v>462</v>
      </c>
      <c r="C14" s="4">
        <v>45043</v>
      </c>
      <c r="D14" s="7">
        <v>-3.2879999999999998</v>
      </c>
      <c r="E14" s="3">
        <f t="shared" si="2"/>
        <v>0.27949999999999997</v>
      </c>
      <c r="F14" s="16">
        <v>9530</v>
      </c>
      <c r="G14" s="3">
        <f t="shared" si="3"/>
        <v>1.0208083784729138</v>
      </c>
      <c r="H14" s="7">
        <v>-2.72</v>
      </c>
      <c r="I14" s="3">
        <f t="shared" si="4"/>
        <v>0.269625</v>
      </c>
      <c r="J14" s="16">
        <v>9515</v>
      </c>
      <c r="K14" s="3">
        <f t="shared" si="5"/>
        <v>1.3344409299551558</v>
      </c>
      <c r="L14" s="7">
        <v>-2.8479999999999999</v>
      </c>
      <c r="M14" s="3">
        <f t="shared" si="6"/>
        <v>0.25837500000000002</v>
      </c>
      <c r="N14" s="16">
        <v>9565</v>
      </c>
      <c r="O14" s="3">
        <f t="shared" si="7"/>
        <v>1.1313174032565025</v>
      </c>
      <c r="P14" s="23">
        <f t="shared" ref="P14" si="11">IF(ISBLANK(D14),NA(),AVERAGE(E14,I14,M14))</f>
        <v>0.26916666666666667</v>
      </c>
      <c r="Q14" s="8">
        <f t="shared" ref="Q14" si="12">IF(ISBLANK(D14),NA(),_xlfn.STDEV.P(E14,I14,M14))</f>
        <v>8.6303324900543973E-3</v>
      </c>
      <c r="R14" s="8"/>
      <c r="S14" s="23">
        <f t="shared" si="8"/>
        <v>1.1621889038948574</v>
      </c>
      <c r="T14" s="9">
        <f t="shared" si="9"/>
        <v>0.12988746796378156</v>
      </c>
    </row>
    <row r="15" spans="1:20" x14ac:dyDescent="0.35">
      <c r="A15" s="52"/>
      <c r="B15" s="1">
        <f t="shared" si="10"/>
        <v>560</v>
      </c>
      <c r="C15" s="4">
        <v>45141</v>
      </c>
      <c r="D15" s="7">
        <v>-3.278</v>
      </c>
      <c r="E15" s="3">
        <f t="shared" si="2"/>
        <v>0.28199999999999992</v>
      </c>
      <c r="F15" s="16">
        <v>9545</v>
      </c>
      <c r="G15" s="3">
        <f t="shared" si="3"/>
        <v>1.1798127987957987</v>
      </c>
      <c r="H15" s="7">
        <v>-2.7170000000000001</v>
      </c>
      <c r="I15" s="3">
        <f t="shared" si="4"/>
        <v>0.27037500000000003</v>
      </c>
      <c r="J15" s="16">
        <v>9520</v>
      </c>
      <c r="K15" s="3">
        <f t="shared" si="5"/>
        <v>1.3876907675431511</v>
      </c>
      <c r="L15" s="7">
        <v>-2.851</v>
      </c>
      <c r="M15" s="3">
        <f t="shared" si="6"/>
        <v>0.25762499999999999</v>
      </c>
      <c r="N15" s="16">
        <v>9575</v>
      </c>
      <c r="O15" s="3">
        <f t="shared" si="7"/>
        <v>1.2370480016916896</v>
      </c>
      <c r="P15" s="23">
        <f t="shared" ref="P15:P17" si="13">IF(ISBLANK(D15),NA(),AVERAGE(E15,I15,M15))</f>
        <v>0.26999999999999996</v>
      </c>
      <c r="Q15" s="8">
        <f t="shared" ref="Q15:Q17" si="14">IF(ISBLANK(D15),NA(),_xlfn.STDEV.P(E15,I15,M15))</f>
        <v>9.9545843710322438E-3</v>
      </c>
      <c r="R15" s="8"/>
      <c r="S15" s="23">
        <f t="shared" ref="S15:S17" si="15">AVERAGE(G15,K15,O15)</f>
        <v>1.2681838560102132</v>
      </c>
      <c r="T15" s="9">
        <f t="shared" ref="T15:T17" si="16">_xlfn.STDEV.P(G15,K15,O15)</f>
        <v>8.7675133459605856E-2</v>
      </c>
    </row>
    <row r="16" spans="1:20" x14ac:dyDescent="0.35">
      <c r="A16" s="52"/>
      <c r="B16" s="1">
        <f>IF(ISBLANK(C16),NA(),C16-C$7+1)</f>
        <v>728</v>
      </c>
      <c r="C16" s="4">
        <v>45309</v>
      </c>
      <c r="D16" s="7">
        <v>-3.2730000000000001</v>
      </c>
      <c r="E16" s="3">
        <f t="shared" si="2"/>
        <v>0.28324999999999989</v>
      </c>
      <c r="F16" s="16">
        <v>9540</v>
      </c>
      <c r="G16" s="3">
        <f t="shared" si="3"/>
        <v>1.1268113253548371</v>
      </c>
      <c r="H16" s="7">
        <v>-2.7149999999999999</v>
      </c>
      <c r="I16" s="3">
        <f t="shared" si="4"/>
        <v>0.27087500000000009</v>
      </c>
      <c r="J16" s="16">
        <v>9520</v>
      </c>
      <c r="K16" s="3">
        <f t="shared" si="5"/>
        <v>1.3876907675431511</v>
      </c>
      <c r="L16" s="7">
        <v>-2.8490000000000002</v>
      </c>
      <c r="M16" s="3">
        <f t="shared" si="6"/>
        <v>0.25812499999999994</v>
      </c>
      <c r="N16" s="16">
        <v>9560</v>
      </c>
      <c r="O16" s="3">
        <f t="shared" si="7"/>
        <v>1.0784521040389088</v>
      </c>
      <c r="P16" s="23">
        <f t="shared" si="13"/>
        <v>0.27074999999999999</v>
      </c>
      <c r="Q16" s="8">
        <f t="shared" si="14"/>
        <v>1.0257619119464304E-2</v>
      </c>
      <c r="R16" s="8"/>
      <c r="S16" s="23">
        <f t="shared" si="15"/>
        <v>1.1976513989789657</v>
      </c>
      <c r="T16" s="9">
        <f t="shared" si="16"/>
        <v>0.13582065325218817</v>
      </c>
    </row>
    <row r="17" spans="1:22" x14ac:dyDescent="0.35">
      <c r="A17" s="52"/>
      <c r="B17" s="1" t="e">
        <f t="shared" si="10"/>
        <v>#N/A</v>
      </c>
      <c r="C17" s="4"/>
      <c r="D17" s="7"/>
      <c r="E17" s="3" t="e">
        <f t="shared" si="2"/>
        <v>#N/A</v>
      </c>
      <c r="F17" s="16"/>
      <c r="G17" s="3" t="e">
        <f t="shared" si="3"/>
        <v>#N/A</v>
      </c>
      <c r="H17" s="7"/>
      <c r="I17" s="3" t="e">
        <f t="shared" si="4"/>
        <v>#N/A</v>
      </c>
      <c r="J17" s="16"/>
      <c r="K17" s="3" t="e">
        <f t="shared" si="5"/>
        <v>#N/A</v>
      </c>
      <c r="L17" s="7"/>
      <c r="M17" s="3">
        <f t="shared" si="6"/>
        <v>0.97037499999999999</v>
      </c>
      <c r="N17" s="16"/>
      <c r="O17" s="3" t="e">
        <f t="shared" si="7"/>
        <v>#N/A</v>
      </c>
      <c r="P17" s="23" t="e">
        <f t="shared" si="13"/>
        <v>#N/A</v>
      </c>
      <c r="Q17" s="8" t="e">
        <f t="shared" si="14"/>
        <v>#N/A</v>
      </c>
      <c r="R17" s="8"/>
      <c r="S17" s="23" t="e">
        <f t="shared" si="15"/>
        <v>#N/A</v>
      </c>
      <c r="T17" s="9" t="e">
        <f t="shared" si="16"/>
        <v>#N/A</v>
      </c>
    </row>
    <row r="19" spans="1:22" x14ac:dyDescent="0.35">
      <c r="B19" s="21"/>
      <c r="S19"/>
      <c r="T19"/>
      <c r="U19"/>
    </row>
    <row r="20" spans="1:22" x14ac:dyDescent="0.35">
      <c r="S20"/>
      <c r="T20"/>
      <c r="U20"/>
    </row>
    <row r="21" spans="1:22" x14ac:dyDescent="0.35">
      <c r="C21" s="21"/>
    </row>
    <row r="22" spans="1:22" x14ac:dyDescent="0.35">
      <c r="C22" s="40" t="s">
        <v>10</v>
      </c>
      <c r="D22" s="13" t="s">
        <v>9</v>
      </c>
      <c r="E22" s="13" t="s">
        <v>11</v>
      </c>
      <c r="F22" s="48" t="s">
        <v>14</v>
      </c>
      <c r="G22" s="50"/>
      <c r="H22" s="48" t="s">
        <v>55</v>
      </c>
      <c r="I22" s="49"/>
      <c r="J22" s="40" t="s">
        <v>63</v>
      </c>
      <c r="K22" s="40"/>
      <c r="L22" s="40"/>
      <c r="M22" s="40"/>
      <c r="N22" s="40"/>
      <c r="O22" s="40"/>
      <c r="P22" s="40"/>
      <c r="Q22" s="40"/>
      <c r="R22" s="40"/>
      <c r="S22" s="40"/>
      <c r="T22" s="40"/>
      <c r="U22"/>
      <c r="V22"/>
    </row>
    <row r="23" spans="1:22" ht="16.5" x14ac:dyDescent="0.35">
      <c r="C23" s="40"/>
      <c r="D23" s="13"/>
      <c r="E23" s="13"/>
      <c r="F23" s="14" t="s">
        <v>12</v>
      </c>
      <c r="G23" s="14" t="s">
        <v>13</v>
      </c>
      <c r="H23" s="14" t="s">
        <v>52</v>
      </c>
      <c r="I23" s="14" t="s">
        <v>54</v>
      </c>
      <c r="J23" s="14" t="s">
        <v>65</v>
      </c>
      <c r="K23" s="14" t="s">
        <v>67</v>
      </c>
      <c r="L23" s="14" t="s">
        <v>69</v>
      </c>
      <c r="M23" s="14" t="s">
        <v>71</v>
      </c>
      <c r="N23" s="14" t="s">
        <v>73</v>
      </c>
      <c r="O23" s="14" t="s">
        <v>89</v>
      </c>
      <c r="P23" s="14" t="s">
        <v>90</v>
      </c>
      <c r="Q23" s="14" t="s">
        <v>92</v>
      </c>
      <c r="R23" s="14" t="s">
        <v>75</v>
      </c>
      <c r="S23" s="14" t="s">
        <v>77</v>
      </c>
      <c r="T23" s="14" t="s">
        <v>79</v>
      </c>
      <c r="U23"/>
      <c r="V23"/>
    </row>
    <row r="24" spans="1:22" x14ac:dyDescent="0.35">
      <c r="B24" s="1">
        <f>IF(ISBLANK(D24),NA(),C24-$C$24)</f>
        <v>0</v>
      </c>
      <c r="C24" s="4">
        <f>C7-1</f>
        <v>44581</v>
      </c>
      <c r="D24" s="16">
        <v>25.1</v>
      </c>
      <c r="E24" s="16">
        <f>D24/0.0129</f>
        <v>1945.7364341085272</v>
      </c>
      <c r="F24" s="1">
        <v>0</v>
      </c>
      <c r="G24" s="1">
        <v>0</v>
      </c>
      <c r="H24" s="16">
        <f>IF(ISBLANK(F24),NA(),F24*62/(23*2)*$E24/1000)</f>
        <v>0</v>
      </c>
      <c r="I24" s="16">
        <f t="shared" ref="I24:I33" si="17">IF(ISBLANK(G24),NA(),G24*62/(23*2)*$E24/1000)</f>
        <v>0</v>
      </c>
      <c r="J24" s="16">
        <f>100*((H24/1000)/INDEX(Alkalis!$K$3:$K$12,MATCH($B$1,Alkalis!$A$3:$A$12,0)))</f>
        <v>0</v>
      </c>
      <c r="K24" s="16">
        <f>100*((I24/1000)/INDEX(Alkalis!$K$3:$K$12,MATCH($B$1,Alkalis!$A$3:$A$12,0)))</f>
        <v>0</v>
      </c>
      <c r="L24" s="7">
        <f>100*(H24/1000)/(3*440*0.1*0.1*0.4*1000)</f>
        <v>0</v>
      </c>
      <c r="M24" s="7">
        <f>100*(I24/1000)/(3*440*0.1*0.1*0.4*1000)</f>
        <v>0</v>
      </c>
      <c r="N24" s="23">
        <f t="shared" ref="N24:N30" si="18">L24+0.658*M24</f>
        <v>0</v>
      </c>
      <c r="O24" s="9">
        <f>100*L24/INDEX(Alkalis!G$3:G$12,MATCH($B$1,Alkalis!$A$3:$A$12,0))</f>
        <v>0</v>
      </c>
      <c r="P24" s="9">
        <f>100*M24/INDEX(Alkalis!H$3:H$12,MATCH($B$1,Alkalis!$A$3:$A$12,0))</f>
        <v>0</v>
      </c>
      <c r="Q24" s="23">
        <f>100*N24/INDEX(Alkalis!I$3:I$12,MATCH($B$1,Alkalis!$A$3:$A$12,0))</f>
        <v>0</v>
      </c>
      <c r="R24" s="9">
        <f t="shared" ref="R24:R30" si="19">440*L24/100</f>
        <v>0</v>
      </c>
      <c r="S24" s="9">
        <f t="shared" ref="S24:S30" si="20">440*M24/100</f>
        <v>0</v>
      </c>
      <c r="T24" s="23">
        <f t="shared" ref="T24:T30" si="21">440*N24/100</f>
        <v>0</v>
      </c>
      <c r="U24"/>
      <c r="V24"/>
    </row>
    <row r="25" spans="1:22" x14ac:dyDescent="0.35">
      <c r="B25" s="1">
        <f t="shared" ref="B25:B33" si="22">IF(ISBLANK(D25),NA(),C25-$C$24)</f>
        <v>27</v>
      </c>
      <c r="C25" s="4">
        <f t="shared" ref="C25:C33" si="23">C9</f>
        <v>44608</v>
      </c>
      <c r="D25" s="16">
        <v>25.7</v>
      </c>
      <c r="E25" s="16">
        <f>D25/0.0129</f>
        <v>1992.2480620155038</v>
      </c>
      <c r="F25" s="1">
        <v>12.832812431365094</v>
      </c>
      <c r="G25" s="1">
        <v>35.036267739732054</v>
      </c>
      <c r="H25" s="16">
        <f t="shared" ref="H25:H33" si="24">IF(ISBLANK(F25),NA(),F25*62/(23*2)*$E25/1000)</f>
        <v>34.458718112802728</v>
      </c>
      <c r="I25" s="16">
        <f t="shared" si="17"/>
        <v>94.079523115080988</v>
      </c>
      <c r="J25" s="16">
        <f>100*((H25/1000)/INDEX(Alkalis!$K$3:$K$12,MATCH($B$1,Alkalis!$A$3:$A$12,0)))</f>
        <v>0.12574705914930634</v>
      </c>
      <c r="K25" s="16">
        <f>100*((I25/1000)/INDEX(Alkalis!$K$3:$K$12,MATCH($B$1,Alkalis!$A$3:$A$12,0)))</f>
        <v>0.34331582849842701</v>
      </c>
      <c r="L25" s="7">
        <f t="shared" ref="L25:L33" si="25">100*(H25/1000)/(3*440*0.1*0.1*0.4*1000)</f>
        <v>6.5262723698490004E-4</v>
      </c>
      <c r="M25" s="7">
        <f t="shared" ref="M25:M33" si="26">100*(I25/1000)/(3*440*0.1*0.1*0.4*1000)</f>
        <v>1.7818091499068366E-3</v>
      </c>
      <c r="N25" s="23">
        <f t="shared" si="18"/>
        <v>1.8250576576235985E-3</v>
      </c>
      <c r="O25" s="9">
        <f>100*L25/INDEX(Alkalis!G$3:G$12,MATCH($B$1,Alkalis!$A$3:$A$12,0))</f>
        <v>0.12574705914930637</v>
      </c>
      <c r="P25" s="9">
        <f>100*M25/INDEX(Alkalis!H$3:H$12,MATCH($B$1,Alkalis!$A$3:$A$12,0))</f>
        <v>9.0332529779814291E-2</v>
      </c>
      <c r="Q25" s="23">
        <f>100*N25/INDEX(Alkalis!I$3:I$12,MATCH($B$1,Alkalis!$A$3:$A$12,0))</f>
        <v>0.10044871127679203</v>
      </c>
      <c r="R25" s="9">
        <f t="shared" si="19"/>
        <v>2.8715598427335605E-3</v>
      </c>
      <c r="S25" s="9">
        <f t="shared" si="20"/>
        <v>7.8399602595900803E-3</v>
      </c>
      <c r="T25" s="23">
        <f t="shared" si="21"/>
        <v>8.0302536935438346E-3</v>
      </c>
      <c r="U25"/>
      <c r="V25"/>
    </row>
    <row r="26" spans="1:22" x14ac:dyDescent="0.35">
      <c r="B26" s="1">
        <f t="shared" si="22"/>
        <v>55</v>
      </c>
      <c r="C26" s="4">
        <f t="shared" si="23"/>
        <v>44636</v>
      </c>
      <c r="D26" s="16">
        <v>23.6</v>
      </c>
      <c r="E26" s="16">
        <f t="shared" ref="E26:E33" si="27">D26/0.0129</f>
        <v>1829.4573643410854</v>
      </c>
      <c r="F26" s="1">
        <v>32.206586667830848</v>
      </c>
      <c r="G26" s="1">
        <v>84.589723018642886</v>
      </c>
      <c r="H26" s="16">
        <f t="shared" si="24"/>
        <v>79.4146909544491</v>
      </c>
      <c r="I26" s="16">
        <f t="shared" si="17"/>
        <v>208.58052362803892</v>
      </c>
      <c r="J26" s="16">
        <f>100*((H26/1000)/INDEX(Alkalis!$K$3:$K$12,MATCH($B$1,Alkalis!$A$3:$A$12,0)))</f>
        <v>0.28980079317177948</v>
      </c>
      <c r="K26" s="16">
        <f>100*((I26/1000)/INDEX(Alkalis!$K$3:$K$12,MATCH($B$1,Alkalis!$A$3:$A$12,0)))</f>
        <v>0.76115389307832237</v>
      </c>
      <c r="L26" s="7">
        <f t="shared" si="25"/>
        <v>1.5040661165615357E-3</v>
      </c>
      <c r="M26" s="7">
        <f t="shared" si="26"/>
        <v>3.9503887050764937E-3</v>
      </c>
      <c r="N26" s="23">
        <f t="shared" si="18"/>
        <v>4.1034218845018688E-3</v>
      </c>
      <c r="O26" s="9">
        <f>100*L26/INDEX(Alkalis!G$3:G$12,MATCH($B$1,Alkalis!$A$3:$A$12,0))</f>
        <v>0.28980079317177954</v>
      </c>
      <c r="P26" s="9">
        <f>100*M26/INDEX(Alkalis!H$3:H$12,MATCH($B$1,Alkalis!$A$3:$A$12,0))</f>
        <v>0.20027319163885898</v>
      </c>
      <c r="Q26" s="23">
        <f>100*N26/INDEX(Alkalis!I$3:I$12,MATCH($B$1,Alkalis!$A$3:$A$12,0))</f>
        <v>0.22584680456610931</v>
      </c>
      <c r="R26" s="9">
        <f t="shared" si="19"/>
        <v>6.6178909128707577E-3</v>
      </c>
      <c r="S26" s="9">
        <f t="shared" si="20"/>
        <v>1.7381710302336574E-2</v>
      </c>
      <c r="T26" s="23">
        <f t="shared" si="21"/>
        <v>1.8055056291808223E-2</v>
      </c>
      <c r="U26"/>
      <c r="V26"/>
    </row>
    <row r="27" spans="1:22" x14ac:dyDescent="0.35">
      <c r="B27" s="1">
        <f t="shared" si="22"/>
        <v>89</v>
      </c>
      <c r="C27" s="4">
        <f t="shared" si="23"/>
        <v>44670</v>
      </c>
      <c r="D27" s="16">
        <v>22.5</v>
      </c>
      <c r="E27" s="16">
        <f t="shared" si="27"/>
        <v>1744.1860465116279</v>
      </c>
      <c r="F27" s="1">
        <v>51.335157758596182</v>
      </c>
      <c r="G27" s="1">
        <v>133.67479067957285</v>
      </c>
      <c r="H27" s="16">
        <f t="shared" si="24"/>
        <v>120.68174093906585</v>
      </c>
      <c r="I27" s="16">
        <f t="shared" si="17"/>
        <v>314.25064542973399</v>
      </c>
      <c r="J27" s="16">
        <f>100*((H27/1000)/INDEX(Alkalis!$K$3:$K$12,MATCH($B$1,Alkalis!$A$3:$A$12,0)))</f>
        <v>0.44039287725180204</v>
      </c>
      <c r="K27" s="16">
        <f>100*((I27/1000)/INDEX(Alkalis!$K$3:$K$12,MATCH($B$1,Alkalis!$A$3:$A$12,0)))</f>
        <v>1.1467662368983691</v>
      </c>
      <c r="L27" s="7">
        <f t="shared" si="25"/>
        <v>2.2856390329368528E-3</v>
      </c>
      <c r="M27" s="7">
        <f t="shared" si="26"/>
        <v>5.9517167695025356E-3</v>
      </c>
      <c r="N27" s="23">
        <f t="shared" si="18"/>
        <v>6.201868667269521E-3</v>
      </c>
      <c r="O27" s="9">
        <f>100*L27/INDEX(Alkalis!G$3:G$12,MATCH($B$1,Alkalis!$A$3:$A$12,0))</f>
        <v>0.4403928772518021</v>
      </c>
      <c r="P27" s="9">
        <f>100*M27/INDEX(Alkalis!H$3:H$12,MATCH($B$1,Alkalis!$A$3:$A$12,0))</f>
        <v>0.30173469046907658</v>
      </c>
      <c r="Q27" s="23">
        <f>100*N27/INDEX(Alkalis!I$3:I$12,MATCH($B$1,Alkalis!$A$3:$A$12,0))</f>
        <v>0.34134248445953536</v>
      </c>
      <c r="R27" s="9">
        <f t="shared" si="19"/>
        <v>1.0056811744922152E-2</v>
      </c>
      <c r="S27" s="9">
        <f t="shared" si="20"/>
        <v>2.6187553785811155E-2</v>
      </c>
      <c r="T27" s="23">
        <f t="shared" si="21"/>
        <v>2.728822213598589E-2</v>
      </c>
      <c r="U27"/>
      <c r="V27"/>
    </row>
    <row r="28" spans="1:22" x14ac:dyDescent="0.35">
      <c r="B28" s="1">
        <f t="shared" si="22"/>
        <v>197</v>
      </c>
      <c r="C28" s="4">
        <f t="shared" si="23"/>
        <v>44778</v>
      </c>
      <c r="D28" s="16">
        <v>22</v>
      </c>
      <c r="E28" s="16">
        <f t="shared" si="27"/>
        <v>1705.4263565891472</v>
      </c>
      <c r="F28" s="1">
        <v>102.79019757894105</v>
      </c>
      <c r="G28" s="1">
        <v>248.21376529278456</v>
      </c>
      <c r="H28" s="16">
        <f t="shared" si="24"/>
        <v>236.27541202843881</v>
      </c>
      <c r="I28" s="16">
        <f t="shared" si="17"/>
        <v>570.54866171108551</v>
      </c>
      <c r="J28" s="16">
        <f>100*((H28/1000)/INDEX(Alkalis!$K$3:$K$12,MATCH($B$1,Alkalis!$A$3:$A$12,0)))</f>
        <v>0.86221832497094753</v>
      </c>
      <c r="K28" s="16">
        <f>100*((I28/1000)/INDEX(Alkalis!$K$3:$K$12,MATCH($B$1,Alkalis!$A$3:$A$12,0)))</f>
        <v>2.0820512265395479</v>
      </c>
      <c r="L28" s="7">
        <f t="shared" si="25"/>
        <v>4.4749131065992187E-3</v>
      </c>
      <c r="M28" s="7">
        <f t="shared" si="26"/>
        <v>1.0805845865740255E-2</v>
      </c>
      <c r="N28" s="23">
        <f t="shared" si="18"/>
        <v>1.1585159686256306E-2</v>
      </c>
      <c r="O28" s="9">
        <f>100*L28/INDEX(Alkalis!G$3:G$12,MATCH($B$1,Alkalis!$A$3:$A$12,0))</f>
        <v>0.86221832497094775</v>
      </c>
      <c r="P28" s="9">
        <f>100*M28/INDEX(Alkalis!H$3:H$12,MATCH($B$1,Alkalis!$A$3:$A$12,0))</f>
        <v>0.54782488546211694</v>
      </c>
      <c r="Q28" s="23">
        <f>100*N28/INDEX(Alkalis!I$3:I$12,MATCH($B$1,Alkalis!$A$3:$A$12,0))</f>
        <v>0.63763155950676031</v>
      </c>
      <c r="R28" s="9">
        <f t="shared" si="19"/>
        <v>1.9689617669036562E-2</v>
      </c>
      <c r="S28" s="9">
        <f t="shared" si="20"/>
        <v>4.7545721809257119E-2</v>
      </c>
      <c r="T28" s="23">
        <f t="shared" si="21"/>
        <v>5.0974702619527745E-2</v>
      </c>
      <c r="U28"/>
      <c r="V28"/>
    </row>
    <row r="29" spans="1:22" x14ac:dyDescent="0.35">
      <c r="B29" s="1">
        <f t="shared" si="22"/>
        <v>371</v>
      </c>
      <c r="C29" s="4">
        <f t="shared" si="23"/>
        <v>44952</v>
      </c>
      <c r="D29" s="16">
        <v>15.5</v>
      </c>
      <c r="E29" s="16">
        <f t="shared" si="27"/>
        <v>1201.5503875968993</v>
      </c>
      <c r="F29" s="1">
        <v>507.54398471516544</v>
      </c>
      <c r="G29" s="1">
        <v>1232.7739347199158</v>
      </c>
      <c r="H29" s="16">
        <f t="shared" si="24"/>
        <v>821.95781818549722</v>
      </c>
      <c r="I29" s="16">
        <f t="shared" si="17"/>
        <v>1996.4539118062673</v>
      </c>
      <c r="J29" s="16">
        <f>100*((H29/1000)/INDEX(Alkalis!$K$3:$K$12,MATCH($B$1,Alkalis!$A$3:$A$12,0)))</f>
        <v>2.9994957456993965</v>
      </c>
      <c r="K29" s="16">
        <f>100*((I29/1000)/INDEX(Alkalis!$K$3:$K$12,MATCH($B$1,Alkalis!$A$3:$A$12,0)))</f>
        <v>7.2854772866171356</v>
      </c>
      <c r="L29" s="7">
        <f t="shared" si="25"/>
        <v>1.5567382920179867E-2</v>
      </c>
      <c r="M29" s="7">
        <f t="shared" si="26"/>
        <v>3.7811627117542941E-2</v>
      </c>
      <c r="N29" s="23">
        <f t="shared" si="18"/>
        <v>4.0447433563523122E-2</v>
      </c>
      <c r="O29" s="9">
        <f>100*L29/INDEX(Alkalis!G$3:G$12,MATCH($B$1,Alkalis!$A$3:$A$12,0))</f>
        <v>2.9994957456993965</v>
      </c>
      <c r="P29" s="9">
        <f>100*M29/INDEX(Alkalis!H$3:H$12,MATCH($B$1,Alkalis!$A$3:$A$12,0))</f>
        <v>1.9169392708513533</v>
      </c>
      <c r="Q29" s="23">
        <f>100*N29/INDEX(Alkalis!I$3:I$12,MATCH($B$1,Alkalis!$A$3:$A$12,0))</f>
        <v>2.2261721754039492</v>
      </c>
      <c r="R29" s="9">
        <f t="shared" si="19"/>
        <v>6.8496484848791409E-2</v>
      </c>
      <c r="S29" s="9">
        <f t="shared" si="20"/>
        <v>0.16637115931718896</v>
      </c>
      <c r="T29" s="23">
        <f t="shared" si="21"/>
        <v>0.17796870767950174</v>
      </c>
      <c r="U29"/>
      <c r="V29"/>
    </row>
    <row r="30" spans="1:22" x14ac:dyDescent="0.35">
      <c r="B30" s="1">
        <f t="shared" si="22"/>
        <v>462</v>
      </c>
      <c r="C30" s="4">
        <f t="shared" si="23"/>
        <v>45043</v>
      </c>
      <c r="D30" s="16">
        <v>17.100000000000001</v>
      </c>
      <c r="E30" s="16">
        <f t="shared" si="27"/>
        <v>1325.5813953488373</v>
      </c>
      <c r="F30" s="1">
        <f>100*9.32130884317423</f>
        <v>932.1308843174229</v>
      </c>
      <c r="G30" s="1">
        <f>100*23.9722588613259</f>
        <v>2397.2258861325899</v>
      </c>
      <c r="H30" s="16">
        <f t="shared" si="24"/>
        <v>1665.3946133355778</v>
      </c>
      <c r="I30" s="16">
        <f t="shared" si="17"/>
        <v>4283.0112647080759</v>
      </c>
      <c r="J30" s="16">
        <f>100*((H30/1000)/INDEX(Alkalis!$K$3:$K$12,MATCH($B$1,Alkalis!$A$3:$A$12,0)))</f>
        <v>6.0773727642595654</v>
      </c>
      <c r="K30" s="16">
        <f>100*((I30/1000)/INDEX(Alkalis!$K$3:$K$12,MATCH($B$1,Alkalis!$A$3:$A$12,0)))</f>
        <v>15.629602618336817</v>
      </c>
      <c r="L30" s="7">
        <f t="shared" si="25"/>
        <v>3.1541564646507148E-2</v>
      </c>
      <c r="M30" s="7">
        <f t="shared" si="26"/>
        <v>8.1117637589168096E-2</v>
      </c>
      <c r="N30" s="23">
        <f t="shared" si="18"/>
        <v>8.4916970180179754E-2</v>
      </c>
      <c r="O30" s="9">
        <f>100*L30/INDEX(Alkalis!G$3:G$12,MATCH($B$1,Alkalis!$A$3:$A$12,0))</f>
        <v>6.0773727642595654</v>
      </c>
      <c r="P30" s="9">
        <f>100*M30/INDEX(Alkalis!H$3:H$12,MATCH($B$1,Alkalis!$A$3:$A$12,0))</f>
        <v>4.1124277611745557</v>
      </c>
      <c r="Q30" s="23">
        <f>100*N30/INDEX(Alkalis!I$3:I$12,MATCH($B$1,Alkalis!$A$3:$A$12,0))</f>
        <v>4.6737154766033306</v>
      </c>
      <c r="R30" s="9">
        <f t="shared" si="19"/>
        <v>0.13878288444463144</v>
      </c>
      <c r="S30" s="9">
        <f t="shared" si="20"/>
        <v>0.35691760539233963</v>
      </c>
      <c r="T30" s="23">
        <f t="shared" si="21"/>
        <v>0.37363466879279095</v>
      </c>
      <c r="U30"/>
      <c r="V30"/>
    </row>
    <row r="31" spans="1:22" x14ac:dyDescent="0.35">
      <c r="B31" s="1">
        <f t="shared" si="22"/>
        <v>560</v>
      </c>
      <c r="C31" s="4">
        <f t="shared" si="23"/>
        <v>45141</v>
      </c>
      <c r="D31" s="16">
        <v>18.5</v>
      </c>
      <c r="E31" s="16">
        <f t="shared" si="27"/>
        <v>1434.1085271317829</v>
      </c>
      <c r="F31" s="1">
        <f>100*9.1287822530739</f>
        <v>912.87822530739004</v>
      </c>
      <c r="G31" s="1">
        <f>100*22.9855760261652</f>
        <v>2298.5576026165199</v>
      </c>
      <c r="H31" s="16">
        <f t="shared" si="24"/>
        <v>1764.5286896319114</v>
      </c>
      <c r="I31" s="16">
        <f t="shared" si="17"/>
        <v>4442.9483825432217</v>
      </c>
      <c r="J31" s="16">
        <f>100*((H31/1000)/INDEX(Alkalis!$K$3:$K$12,MATCH($B$1,Alkalis!$A$3:$A$12,0)))</f>
        <v>6.4391337129675028</v>
      </c>
      <c r="K31" s="16">
        <f>100*((I31/1000)/INDEX(Alkalis!$K$3:$K$12,MATCH($B$1,Alkalis!$A$3:$A$12,0)))</f>
        <v>16.213246564427585</v>
      </c>
      <c r="L31" s="7">
        <f t="shared" si="25"/>
        <v>3.3419103970301352E-2</v>
      </c>
      <c r="M31" s="7">
        <f t="shared" si="26"/>
        <v>8.4146749669379184E-2</v>
      </c>
      <c r="N31" s="23">
        <f t="shared" ref="N31:N33" si="28">L31+0.658*M31</f>
        <v>8.8787665252752862E-2</v>
      </c>
      <c r="O31" s="9">
        <f>100*L31/INDEX(Alkalis!G$3:G$12,MATCH($B$1,Alkalis!$A$3:$A$12,0))</f>
        <v>6.4391337129675055</v>
      </c>
      <c r="P31" s="9">
        <f>100*M31/INDEX(Alkalis!H$3:H$12,MATCH($B$1,Alkalis!$A$3:$A$12,0))</f>
        <v>4.2659949135299966</v>
      </c>
      <c r="Q31" s="23">
        <f>100*N31/INDEX(Alkalis!I$3:I$12,MATCH($B$1,Alkalis!$A$3:$A$12,0))</f>
        <v>4.8867533114143482</v>
      </c>
      <c r="R31" s="9">
        <f t="shared" ref="R31:R33" si="29">440*L31/100</f>
        <v>0.14704405746932595</v>
      </c>
      <c r="S31" s="9">
        <f t="shared" ref="S31:S33" si="30">440*M31/100</f>
        <v>0.3702456985452684</v>
      </c>
      <c r="T31" s="23">
        <f t="shared" ref="T31:T33" si="31">440*N31/100</f>
        <v>0.39066572711211256</v>
      </c>
      <c r="U31"/>
      <c r="V31"/>
    </row>
    <row r="32" spans="1:22" x14ac:dyDescent="0.35">
      <c r="B32" s="1">
        <f t="shared" si="22"/>
        <v>728</v>
      </c>
      <c r="C32" s="4">
        <f t="shared" si="23"/>
        <v>45309</v>
      </c>
      <c r="D32" s="16">
        <v>22.4</v>
      </c>
      <c r="E32" s="16">
        <f t="shared" si="27"/>
        <v>1736.4341085271317</v>
      </c>
      <c r="F32" s="1">
        <f>100*8.88928713605199</f>
        <v>888.92871360519905</v>
      </c>
      <c r="G32" s="1">
        <f>100*22.3962202479376</f>
        <v>2239.6220247937599</v>
      </c>
      <c r="H32" s="16">
        <f t="shared" si="24"/>
        <v>2080.4587082152011</v>
      </c>
      <c r="I32" s="16">
        <f t="shared" si="17"/>
        <v>5241.636447646737</v>
      </c>
      <c r="J32" s="16">
        <f>100*((H32/1000)/INDEX(Alkalis!$K$3:$K$12,MATCH($B$1,Alkalis!$A$3:$A$12,0)))</f>
        <v>7.5920283332428351</v>
      </c>
      <c r="K32" s="16">
        <f>100*((I32/1000)/INDEX(Alkalis!$K$3:$K$12,MATCH($B$1,Alkalis!$A$3:$A$12,0)))</f>
        <v>19.127826121207505</v>
      </c>
      <c r="L32" s="7">
        <f t="shared" si="25"/>
        <v>3.940262704953032E-2</v>
      </c>
      <c r="M32" s="7">
        <f t="shared" si="26"/>
        <v>9.9273417569066963E-2</v>
      </c>
      <c r="N32" s="23">
        <f t="shared" si="28"/>
        <v>0.10472453580997639</v>
      </c>
      <c r="O32" s="9">
        <f>100*L32/INDEX(Alkalis!G$3:G$12,MATCH($B$1,Alkalis!$A$3:$A$12,0))</f>
        <v>7.592028333242836</v>
      </c>
      <c r="P32" s="9">
        <f>100*M32/INDEX(Alkalis!H$3:H$12,MATCH($B$1,Alkalis!$A$3:$A$12,0))</f>
        <v>5.0328728805610625</v>
      </c>
      <c r="Q32" s="23">
        <f>100*N32/INDEX(Alkalis!I$3:I$12,MATCH($B$1,Alkalis!$A$3:$A$12,0))</f>
        <v>5.7638971663337584</v>
      </c>
      <c r="R32" s="9">
        <f t="shared" si="29"/>
        <v>0.17337155901793341</v>
      </c>
      <c r="S32" s="9">
        <f t="shared" si="30"/>
        <v>0.43680303730389464</v>
      </c>
      <c r="T32" s="23">
        <f t="shared" si="31"/>
        <v>0.46078795756389612</v>
      </c>
      <c r="U32"/>
      <c r="V32"/>
    </row>
    <row r="33" spans="2:22" x14ac:dyDescent="0.35">
      <c r="B33" s="1" t="e">
        <f t="shared" si="22"/>
        <v>#N/A</v>
      </c>
      <c r="C33" s="4">
        <f t="shared" si="23"/>
        <v>0</v>
      </c>
      <c r="D33" s="16"/>
      <c r="E33" s="16">
        <f t="shared" si="27"/>
        <v>0</v>
      </c>
      <c r="F33" s="1"/>
      <c r="G33" s="1"/>
      <c r="H33" s="16" t="e">
        <f t="shared" si="24"/>
        <v>#N/A</v>
      </c>
      <c r="I33" s="16" t="e">
        <f t="shared" si="17"/>
        <v>#N/A</v>
      </c>
      <c r="J33" s="16" t="e">
        <f>100*((H33/1000)/INDEX(Alkalis!$K$3:$K$12,MATCH($B$1,Alkalis!$A$3:$A$12,0)))</f>
        <v>#N/A</v>
      </c>
      <c r="K33" s="16" t="e">
        <f>100*((I33/1000)/INDEX(Alkalis!$K$3:$K$12,MATCH($B$1,Alkalis!$A$3:$A$12,0)))</f>
        <v>#N/A</v>
      </c>
      <c r="L33" s="7" t="e">
        <f t="shared" si="25"/>
        <v>#N/A</v>
      </c>
      <c r="M33" s="7" t="e">
        <f t="shared" si="26"/>
        <v>#N/A</v>
      </c>
      <c r="N33" s="23" t="e">
        <f t="shared" si="28"/>
        <v>#N/A</v>
      </c>
      <c r="O33" s="9" t="e">
        <f>100*L33/INDEX(Alkalis!G$3:G$12,MATCH($B$1,Alkalis!$A$3:$A$12,0))</f>
        <v>#N/A</v>
      </c>
      <c r="P33" s="9" t="e">
        <f>100*M33/INDEX(Alkalis!H$3:H$12,MATCH($B$1,Alkalis!$A$3:$A$12,0))</f>
        <v>#N/A</v>
      </c>
      <c r="Q33" s="23" t="e">
        <f>100*N33/INDEX(Alkalis!I$3:I$12,MATCH($B$1,Alkalis!$A$3:$A$12,0))</f>
        <v>#N/A</v>
      </c>
      <c r="R33" s="9" t="e">
        <f t="shared" si="29"/>
        <v>#N/A</v>
      </c>
      <c r="S33" s="9" t="e">
        <f t="shared" si="30"/>
        <v>#N/A</v>
      </c>
      <c r="T33" s="23" t="e">
        <f t="shared" si="31"/>
        <v>#N/A</v>
      </c>
      <c r="U33"/>
      <c r="V33"/>
    </row>
    <row r="34" spans="2:22" x14ac:dyDescent="0.35">
      <c r="U34"/>
      <c r="V34"/>
    </row>
    <row r="35" spans="2:22" x14ac:dyDescent="0.35">
      <c r="U35"/>
      <c r="V35"/>
    </row>
    <row r="36" spans="2:22" x14ac:dyDescent="0.35">
      <c r="U36"/>
      <c r="V36"/>
    </row>
  </sheetData>
  <mergeCells count="20">
    <mergeCell ref="A7:A17"/>
    <mergeCell ref="R3:R4"/>
    <mergeCell ref="B6:C6"/>
    <mergeCell ref="L5:M5"/>
    <mergeCell ref="P3:P4"/>
    <mergeCell ref="Q3:Q4"/>
    <mergeCell ref="D3:G3"/>
    <mergeCell ref="L3:O3"/>
    <mergeCell ref="H3:K3"/>
    <mergeCell ref="B1:C1"/>
    <mergeCell ref="B3:C4"/>
    <mergeCell ref="B5:C5"/>
    <mergeCell ref="D5:E5"/>
    <mergeCell ref="H5:I5"/>
    <mergeCell ref="C22:C23"/>
    <mergeCell ref="H22:I22"/>
    <mergeCell ref="F22:G22"/>
    <mergeCell ref="J22:T22"/>
    <mergeCell ref="T3:T4"/>
    <mergeCell ref="S3:S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16F91-6669-45EF-AEA1-703E7E8DD5A5}">
  <sheetPr>
    <tabColor theme="8"/>
  </sheetPr>
  <dimension ref="A1:V36"/>
  <sheetViews>
    <sheetView zoomScale="55" zoomScaleNormal="55" workbookViewId="0">
      <selection activeCell="P38" sqref="P38"/>
    </sheetView>
  </sheetViews>
  <sheetFormatPr defaultColWidth="8.81640625" defaultRowHeight="14.5" x14ac:dyDescent="0.35"/>
  <cols>
    <col min="1" max="1" width="3.54296875" style="17" bestFit="1" customWidth="1"/>
    <col min="2" max="2" width="15.26953125" style="17" bestFit="1" customWidth="1"/>
    <col min="3" max="3" width="15.26953125" style="17" customWidth="1"/>
    <col min="4" max="4" width="13.7265625" style="17" bestFit="1" customWidth="1"/>
    <col min="5" max="5" width="13.81640625" style="17" bestFit="1" customWidth="1"/>
    <col min="6" max="7" width="13.81640625" style="17" customWidth="1"/>
    <col min="8" max="8" width="13.7265625" style="17" bestFit="1" customWidth="1"/>
    <col min="9" max="9" width="13.81640625" style="17" bestFit="1" customWidth="1"/>
    <col min="10" max="11" width="13.81640625" style="17" customWidth="1"/>
    <col min="12" max="12" width="15.7265625" style="17" bestFit="1" customWidth="1"/>
    <col min="13" max="13" width="13.81640625" style="17" bestFit="1" customWidth="1"/>
    <col min="14" max="15" width="13.81640625" style="17" customWidth="1"/>
    <col min="16" max="16" width="17.26953125" style="17" bestFit="1" customWidth="1"/>
    <col min="17" max="17" width="16.26953125" style="17" bestFit="1" customWidth="1"/>
    <col min="18" max="18" width="18.26953125" style="17" customWidth="1"/>
    <col min="19" max="19" width="16.453125" style="17" bestFit="1" customWidth="1"/>
    <col min="20" max="20" width="15.1796875" style="17" bestFit="1" customWidth="1"/>
    <col min="21" max="21" width="16.26953125" style="17" bestFit="1" customWidth="1"/>
    <col min="22" max="22" width="18.7265625" style="17" bestFit="1" customWidth="1"/>
    <col min="23" max="16384" width="8.81640625" style="17"/>
  </cols>
  <sheetData>
    <row r="1" spans="1:20" x14ac:dyDescent="0.35">
      <c r="B1" s="41" t="s">
        <v>105</v>
      </c>
      <c r="C1" s="41"/>
      <c r="F1"/>
    </row>
    <row r="3" spans="1:20" ht="14.5" customHeight="1" x14ac:dyDescent="0.35">
      <c r="B3" s="42" t="s">
        <v>3</v>
      </c>
      <c r="C3" s="43"/>
      <c r="D3" s="46" t="s">
        <v>22</v>
      </c>
      <c r="E3" s="53"/>
      <c r="F3" s="53"/>
      <c r="G3" s="47"/>
      <c r="H3" s="46" t="s">
        <v>23</v>
      </c>
      <c r="I3" s="53"/>
      <c r="J3" s="53"/>
      <c r="K3" s="47"/>
      <c r="L3" s="46" t="s">
        <v>24</v>
      </c>
      <c r="M3" s="53"/>
      <c r="N3" s="53"/>
      <c r="O3" s="47"/>
      <c r="P3" s="51" t="s">
        <v>103</v>
      </c>
      <c r="Q3" s="39" t="s">
        <v>82</v>
      </c>
      <c r="R3" s="51" t="s">
        <v>38</v>
      </c>
      <c r="S3" s="51" t="s">
        <v>81</v>
      </c>
      <c r="T3" s="39" t="s">
        <v>82</v>
      </c>
    </row>
    <row r="4" spans="1:20" ht="14.5" customHeight="1" x14ac:dyDescent="0.35">
      <c r="B4" s="44"/>
      <c r="C4" s="45"/>
      <c r="D4" s="1" t="s">
        <v>80</v>
      </c>
      <c r="E4" s="1" t="s">
        <v>102</v>
      </c>
      <c r="F4" s="15" t="s">
        <v>15</v>
      </c>
      <c r="G4" s="15" t="s">
        <v>83</v>
      </c>
      <c r="H4" s="1" t="s">
        <v>80</v>
      </c>
      <c r="I4" s="1" t="s">
        <v>102</v>
      </c>
      <c r="J4" s="15" t="s">
        <v>15</v>
      </c>
      <c r="K4" s="15" t="s">
        <v>83</v>
      </c>
      <c r="L4" s="1" t="s">
        <v>80</v>
      </c>
      <c r="M4" s="1" t="s">
        <v>102</v>
      </c>
      <c r="N4" s="15" t="s">
        <v>15</v>
      </c>
      <c r="O4" s="15" t="s">
        <v>83</v>
      </c>
      <c r="P4" s="51"/>
      <c r="Q4" s="39"/>
      <c r="R4" s="51"/>
      <c r="S4" s="51"/>
      <c r="T4" s="39"/>
    </row>
    <row r="5" spans="1:20" ht="16.5" x14ac:dyDescent="0.35">
      <c r="A5" s="20"/>
      <c r="B5" s="46" t="s">
        <v>1</v>
      </c>
      <c r="C5" s="47"/>
      <c r="D5" s="39">
        <v>400</v>
      </c>
      <c r="E5" s="39"/>
      <c r="F5" s="1"/>
      <c r="G5" s="1"/>
      <c r="H5" s="39">
        <v>400</v>
      </c>
      <c r="I5" s="39"/>
      <c r="J5" s="1"/>
      <c r="K5" s="1"/>
      <c r="L5" s="39">
        <v>400</v>
      </c>
      <c r="M5" s="39"/>
      <c r="N5" s="1"/>
      <c r="O5" s="1"/>
      <c r="P5" s="2"/>
      <c r="Q5" s="2"/>
      <c r="R5" s="2"/>
      <c r="S5" s="2"/>
      <c r="T5" s="2"/>
    </row>
    <row r="6" spans="1:20" x14ac:dyDescent="0.35">
      <c r="A6" s="20"/>
      <c r="B6" s="46" t="s">
        <v>2</v>
      </c>
      <c r="C6" s="47"/>
      <c r="D6" s="7">
        <v>-3.859</v>
      </c>
      <c r="E6" s="5">
        <f>100*(D7-$D$6)/$D$5</f>
        <v>6.4999999999999503E-3</v>
      </c>
      <c r="F6" s="16">
        <v>9544.2000000000007</v>
      </c>
      <c r="G6" s="16"/>
      <c r="H6" s="7">
        <v>-3.8340000000000001</v>
      </c>
      <c r="I6" s="5">
        <f>100*(H7-$H$6)/$H$5</f>
        <v>5.5000000000000604E-3</v>
      </c>
      <c r="J6" s="16">
        <v>9512.7000000000007</v>
      </c>
      <c r="K6" s="16"/>
      <c r="L6" s="7">
        <v>-4.17</v>
      </c>
      <c r="M6" s="5">
        <f>100*(L7-$L$6)/$L$5</f>
        <v>1.0499999999999954E-2</v>
      </c>
      <c r="N6" s="16">
        <v>9591.9</v>
      </c>
      <c r="O6" s="16"/>
      <c r="P6" s="6">
        <f>IF(ISBLANK(D6),NA(),AVERAGE(E6,I6,M6))</f>
        <v>7.4999999999999884E-3</v>
      </c>
      <c r="Q6" s="6">
        <f>IF(ISBLANK(D6),NA(),_xlfn.STDEV.P(E6,I6,M6))</f>
        <v>2.1602468994692545E-3</v>
      </c>
      <c r="R6" s="24"/>
      <c r="S6" s="2"/>
      <c r="T6" s="2"/>
    </row>
    <row r="7" spans="1:20" ht="15" customHeight="1" x14ac:dyDescent="0.35">
      <c r="A7" s="52" t="s">
        <v>0</v>
      </c>
      <c r="B7" s="1">
        <v>1</v>
      </c>
      <c r="C7" s="4">
        <v>44582</v>
      </c>
      <c r="D7" s="7">
        <v>-3.8330000000000002</v>
      </c>
      <c r="E7" s="3">
        <f>IF(ISBLANK(D7),NA(),100*(D7-$D$7)/$D$5)</f>
        <v>0</v>
      </c>
      <c r="F7" s="16">
        <v>9538.2999999999993</v>
      </c>
      <c r="G7" s="3">
        <f>IF(ISBLANK(F7),NA(),100*(F7-$F$7)/$F$7)</f>
        <v>0</v>
      </c>
      <c r="H7" s="7">
        <v>-3.8119999999999998</v>
      </c>
      <c r="I7" s="3">
        <f>IF(ISBLANK(H7),NA(),100*(H7-$H$7)/$H$5)</f>
        <v>0</v>
      </c>
      <c r="J7" s="16">
        <v>9505</v>
      </c>
      <c r="K7" s="3">
        <f>IF(ISBLANK(J7),NA(),100*(J7-$J$7)/$J$7)</f>
        <v>0</v>
      </c>
      <c r="L7" s="7">
        <v>-4.1280000000000001</v>
      </c>
      <c r="M7" s="3">
        <f>100*(L7-$L$7)/$L$5</f>
        <v>0</v>
      </c>
      <c r="N7" s="16">
        <v>9588.6</v>
      </c>
      <c r="O7" s="3">
        <f>IF(ISBLANK(N7),NA(),100*(N7-$N$7)/$N$7)</f>
        <v>0</v>
      </c>
      <c r="P7" s="23">
        <f t="shared" ref="P7:P13" si="0">IF(ISBLANK(D7),NA(),AVERAGE(E7,I7,M7))</f>
        <v>0</v>
      </c>
      <c r="Q7" s="8">
        <f t="shared" ref="Q7:Q13" si="1">IF(ISBLANK(D7),NA(),_xlfn.STDEV.P(E7,I7,M7))</f>
        <v>0</v>
      </c>
      <c r="R7" s="8"/>
      <c r="S7" s="23">
        <f>AVERAGE(G7,K7,O7)</f>
        <v>0</v>
      </c>
      <c r="T7" s="9">
        <f>_xlfn.STDEV.P(G7,K7,O7)</f>
        <v>0</v>
      </c>
    </row>
    <row r="8" spans="1:20" x14ac:dyDescent="0.35">
      <c r="A8" s="52"/>
      <c r="B8" s="1">
        <f>IF(ISBLANK(C8),NA(),C8-C$7+1)</f>
        <v>7</v>
      </c>
      <c r="C8" s="4">
        <v>44588</v>
      </c>
      <c r="D8" s="7">
        <v>-3.7349999999999999</v>
      </c>
      <c r="E8" s="3">
        <f t="shared" ref="E8:E17" si="2">IF(ISBLANK(D8),NA(),100*(D8-$D$7)/$D$5)</f>
        <v>2.4500000000000077E-2</v>
      </c>
      <c r="F8" s="16">
        <v>9542.5</v>
      </c>
      <c r="G8" s="3">
        <f t="shared" ref="G8:G17" si="3">IF(ISBLANK(F8),NA(),100*(F8-$F$7)/$F$7)</f>
        <v>4.4033003784749149E-2</v>
      </c>
      <c r="H8" s="7">
        <v>-3.7269999999999999</v>
      </c>
      <c r="I8" s="3">
        <f t="shared" ref="I8:I17" si="4">IF(ISBLANK(H8),NA(),100*(H8-$H$7)/$H$5)</f>
        <v>2.1249999999999991E-2</v>
      </c>
      <c r="J8" s="16">
        <v>9504.4</v>
      </c>
      <c r="K8" s="3">
        <f t="shared" ref="K8:K17" si="5">IF(ISBLANK(J8),NA(),100*(J8-$J$7)/$J$7)</f>
        <v>-6.3124671225708974E-3</v>
      </c>
      <c r="L8" s="7">
        <v>-3.8839999999999999</v>
      </c>
      <c r="M8" s="3">
        <f t="shared" ref="M8:M17" si="6">100*(L8-$L$7)/$L$5</f>
        <v>6.1000000000000047E-2</v>
      </c>
      <c r="N8" s="16">
        <v>9595.7999999999993</v>
      </c>
      <c r="O8" s="3">
        <f t="shared" ref="O8:O17" si="7">IF(ISBLANK(N8),NA(),100*(N8-$N$7)/$N$7)</f>
        <v>7.5089168387448724E-2</v>
      </c>
      <c r="P8" s="23">
        <f t="shared" si="0"/>
        <v>3.5583333333333377E-2</v>
      </c>
      <c r="Q8" s="8">
        <f t="shared" si="1"/>
        <v>1.8021206643532201E-2</v>
      </c>
      <c r="R8" s="8" t="s">
        <v>39</v>
      </c>
      <c r="S8" s="23">
        <f t="shared" ref="S8:S14" si="8">AVERAGE(G8,K8,O8)</f>
        <v>3.7603235016542329E-2</v>
      </c>
      <c r="T8" s="9">
        <f t="shared" ref="T8:T14" si="9">_xlfn.STDEV.P(G8,K8,O8)</f>
        <v>3.3541645862380079E-2</v>
      </c>
    </row>
    <row r="9" spans="1:20" x14ac:dyDescent="0.35">
      <c r="A9" s="52"/>
      <c r="B9" s="1">
        <f t="shared" ref="B9:B17" si="10">IF(ISBLANK(C9),NA(),C9-C$7+1)</f>
        <v>27</v>
      </c>
      <c r="C9" s="4">
        <v>44608</v>
      </c>
      <c r="D9" s="7">
        <v>-3.5670000000000002</v>
      </c>
      <c r="E9" s="3">
        <f t="shared" si="2"/>
        <v>6.6500000000000004E-2</v>
      </c>
      <c r="F9" s="34" t="e">
        <f>NA()</f>
        <v>#N/A</v>
      </c>
      <c r="G9" s="3" t="e">
        <f t="shared" si="3"/>
        <v>#N/A</v>
      </c>
      <c r="H9" s="7">
        <v>-3.222</v>
      </c>
      <c r="I9" s="3">
        <f t="shared" si="4"/>
        <v>0.14749999999999996</v>
      </c>
      <c r="J9" s="16">
        <v>9527</v>
      </c>
      <c r="K9" s="3">
        <f t="shared" si="5"/>
        <v>0.23145712782745922</v>
      </c>
      <c r="L9" s="7">
        <v>-3.5739999999999998</v>
      </c>
      <c r="M9" s="3">
        <f t="shared" si="6"/>
        <v>0.13850000000000007</v>
      </c>
      <c r="N9" s="16">
        <v>9616.1</v>
      </c>
      <c r="O9" s="3">
        <f t="shared" si="7"/>
        <v>0.28679890703543792</v>
      </c>
      <c r="P9" s="23">
        <f t="shared" si="0"/>
        <v>0.11750000000000001</v>
      </c>
      <c r="Q9" s="8">
        <f t="shared" si="1"/>
        <v>3.6249137920783742E-2</v>
      </c>
      <c r="R9" s="8" t="s">
        <v>46</v>
      </c>
      <c r="S9" s="35">
        <f>AVERAGE(K9,O9)</f>
        <v>0.25912801743144859</v>
      </c>
      <c r="T9" s="9" t="e">
        <f t="shared" si="9"/>
        <v>#N/A</v>
      </c>
    </row>
    <row r="10" spans="1:20" x14ac:dyDescent="0.35">
      <c r="A10" s="52"/>
      <c r="B10" s="1">
        <f t="shared" si="10"/>
        <v>55</v>
      </c>
      <c r="C10" s="4">
        <v>44636</v>
      </c>
      <c r="D10" s="7">
        <v>-3.1960000000000002</v>
      </c>
      <c r="E10" s="3">
        <f t="shared" si="2"/>
        <v>0.15925</v>
      </c>
      <c r="F10" s="16">
        <v>9580</v>
      </c>
      <c r="G10" s="3">
        <f t="shared" si="3"/>
        <v>0.43718482329136987</v>
      </c>
      <c r="H10" s="7">
        <v>-3.13</v>
      </c>
      <c r="I10" s="3">
        <f t="shared" si="4"/>
        <v>0.17049999999999998</v>
      </c>
      <c r="J10" s="16">
        <v>9544.7999999999993</v>
      </c>
      <c r="K10" s="3">
        <f t="shared" si="5"/>
        <v>0.41872698579694134</v>
      </c>
      <c r="L10" s="7">
        <v>-3.5089999999999999</v>
      </c>
      <c r="M10" s="3">
        <f t="shared" si="6"/>
        <v>0.15475000000000005</v>
      </c>
      <c r="N10" s="16">
        <v>9626.2000000000007</v>
      </c>
      <c r="O10" s="3">
        <f t="shared" si="7"/>
        <v>0.39213232380118435</v>
      </c>
      <c r="P10" s="23">
        <f t="shared" si="0"/>
        <v>0.1615</v>
      </c>
      <c r="Q10" s="8">
        <f t="shared" si="1"/>
        <v>6.6238206497458594E-3</v>
      </c>
      <c r="R10" s="8"/>
      <c r="S10" s="23">
        <f t="shared" si="8"/>
        <v>0.41601471096316517</v>
      </c>
      <c r="T10" s="9">
        <f t="shared" si="9"/>
        <v>1.8492327303663781E-2</v>
      </c>
    </row>
    <row r="11" spans="1:20" x14ac:dyDescent="0.35">
      <c r="A11" s="52"/>
      <c r="B11" s="1">
        <f t="shared" si="10"/>
        <v>89</v>
      </c>
      <c r="C11" s="4">
        <v>44670</v>
      </c>
      <c r="D11" s="7">
        <v>-3.169</v>
      </c>
      <c r="E11" s="3">
        <f t="shared" si="2"/>
        <v>0.16600000000000004</v>
      </c>
      <c r="F11" s="16">
        <v>9591</v>
      </c>
      <c r="G11" s="3">
        <f t="shared" si="3"/>
        <v>0.55250935701331194</v>
      </c>
      <c r="H11" s="7">
        <v>-3.1179999999999999</v>
      </c>
      <c r="I11" s="3">
        <f t="shared" si="4"/>
        <v>0.17349999999999999</v>
      </c>
      <c r="J11" s="16">
        <v>9553.1</v>
      </c>
      <c r="K11" s="3">
        <f t="shared" si="5"/>
        <v>0.50604944765913062</v>
      </c>
      <c r="L11" s="7">
        <v>-3.4820000000000002</v>
      </c>
      <c r="M11" s="3">
        <f t="shared" si="6"/>
        <v>0.16149999999999998</v>
      </c>
      <c r="N11" s="16">
        <v>9641.7999999999993</v>
      </c>
      <c r="O11" s="3">
        <f t="shared" si="7"/>
        <v>0.55482552197399937</v>
      </c>
      <c r="P11" s="23">
        <f t="shared" si="0"/>
        <v>0.16700000000000001</v>
      </c>
      <c r="Q11" s="8">
        <f t="shared" si="1"/>
        <v>4.9497474683058333E-3</v>
      </c>
      <c r="R11" s="8" t="s">
        <v>62</v>
      </c>
      <c r="S11" s="23">
        <f t="shared" si="8"/>
        <v>0.53779477554881394</v>
      </c>
      <c r="T11" s="9">
        <f t="shared" si="9"/>
        <v>2.2467243372651213E-2</v>
      </c>
    </row>
    <row r="12" spans="1:20" x14ac:dyDescent="0.35">
      <c r="A12" s="52"/>
      <c r="B12" s="1">
        <f t="shared" si="10"/>
        <v>197</v>
      </c>
      <c r="C12" s="4">
        <v>44778</v>
      </c>
      <c r="D12" s="7">
        <v>-3.153</v>
      </c>
      <c r="E12" s="3">
        <f t="shared" si="2"/>
        <v>0.17000000000000004</v>
      </c>
      <c r="F12" s="16">
        <v>9610</v>
      </c>
      <c r="G12" s="3">
        <f t="shared" si="3"/>
        <v>0.75170627889666641</v>
      </c>
      <c r="H12" s="7">
        <v>-3.0790000000000002</v>
      </c>
      <c r="I12" s="3">
        <f t="shared" si="4"/>
        <v>0.18324999999999991</v>
      </c>
      <c r="J12" s="16">
        <v>9575</v>
      </c>
      <c r="K12" s="3">
        <f t="shared" si="5"/>
        <v>0.73645449763282478</v>
      </c>
      <c r="L12" s="7">
        <v>-3.431</v>
      </c>
      <c r="M12" s="3">
        <f t="shared" si="6"/>
        <v>0.17425000000000002</v>
      </c>
      <c r="N12" s="16">
        <v>9655</v>
      </c>
      <c r="O12" s="3">
        <f t="shared" si="7"/>
        <v>0.69248899735101721</v>
      </c>
      <c r="P12" s="23">
        <f t="shared" si="0"/>
        <v>0.17583333333333331</v>
      </c>
      <c r="Q12" s="8">
        <f t="shared" si="1"/>
        <v>5.5239378063921289E-3</v>
      </c>
      <c r="R12" s="8"/>
      <c r="S12" s="23">
        <f t="shared" si="8"/>
        <v>0.7268832579601695</v>
      </c>
      <c r="T12" s="9">
        <f t="shared" si="9"/>
        <v>2.5104821317398107E-2</v>
      </c>
    </row>
    <row r="13" spans="1:20" x14ac:dyDescent="0.35">
      <c r="A13" s="52"/>
      <c r="B13" s="1">
        <f t="shared" si="10"/>
        <v>371</v>
      </c>
      <c r="C13" s="4">
        <v>44952</v>
      </c>
      <c r="D13" s="7">
        <v>-3.1120000000000001</v>
      </c>
      <c r="E13" s="3">
        <f t="shared" si="2"/>
        <v>0.18025000000000002</v>
      </c>
      <c r="F13" s="16">
        <v>9660</v>
      </c>
      <c r="G13" s="3">
        <f t="shared" si="3"/>
        <v>1.275908704905494</v>
      </c>
      <c r="H13" s="7">
        <v>-3.0510000000000002</v>
      </c>
      <c r="I13" s="3">
        <f t="shared" si="4"/>
        <v>0.19024999999999992</v>
      </c>
      <c r="J13" s="16">
        <v>9610</v>
      </c>
      <c r="K13" s="3">
        <f t="shared" si="5"/>
        <v>1.1046817464492373</v>
      </c>
      <c r="L13" s="7">
        <v>-3.395</v>
      </c>
      <c r="M13" s="3">
        <f t="shared" si="6"/>
        <v>0.18325000000000002</v>
      </c>
      <c r="N13" s="16">
        <v>9685</v>
      </c>
      <c r="O13" s="3">
        <f t="shared" si="7"/>
        <v>1.0053605322987675</v>
      </c>
      <c r="P13" s="23">
        <f t="shared" si="0"/>
        <v>0.18458333333333332</v>
      </c>
      <c r="Q13" s="8">
        <f t="shared" si="1"/>
        <v>4.1899350299921317E-3</v>
      </c>
      <c r="R13" s="8"/>
      <c r="S13" s="23">
        <f t="shared" si="8"/>
        <v>1.1286503278844995</v>
      </c>
      <c r="T13" s="9">
        <f t="shared" si="9"/>
        <v>0.11174359965929104</v>
      </c>
    </row>
    <row r="14" spans="1:20" x14ac:dyDescent="0.35">
      <c r="A14" s="52"/>
      <c r="B14" s="1">
        <f t="shared" si="10"/>
        <v>462</v>
      </c>
      <c r="C14" s="4">
        <v>45043</v>
      </c>
      <c r="D14" s="7">
        <v>-3.1059999999999999</v>
      </c>
      <c r="E14" s="3">
        <f t="shared" si="2"/>
        <v>0.18175000000000008</v>
      </c>
      <c r="F14" s="16">
        <v>9665</v>
      </c>
      <c r="G14" s="3">
        <f t="shared" si="3"/>
        <v>1.3283289475063769</v>
      </c>
      <c r="H14" s="36">
        <v>-3.0419999999999998</v>
      </c>
      <c r="I14" s="3">
        <f t="shared" si="4"/>
        <v>0.1925</v>
      </c>
      <c r="J14" s="16">
        <v>9635</v>
      </c>
      <c r="K14" s="3">
        <f t="shared" si="5"/>
        <v>1.3677012098895318</v>
      </c>
      <c r="L14" s="7">
        <v>-3.3889999999999998</v>
      </c>
      <c r="M14" s="3">
        <f t="shared" si="6"/>
        <v>0.18475000000000008</v>
      </c>
      <c r="N14" s="16">
        <v>9695</v>
      </c>
      <c r="O14" s="3">
        <f t="shared" si="7"/>
        <v>1.1096510439480178</v>
      </c>
      <c r="P14" s="23">
        <f t="shared" ref="P14" si="11">IF(ISBLANK(D14),NA(),AVERAGE(E14,I14,M14))</f>
        <v>0.18633333333333338</v>
      </c>
      <c r="Q14" s="8">
        <f t="shared" ref="Q14" si="12">IF(ISBLANK(D14),NA(),_xlfn.STDEV.P(E14,I14,M14))</f>
        <v>4.5292260805670304E-3</v>
      </c>
      <c r="R14" s="8"/>
      <c r="S14" s="23">
        <f t="shared" si="8"/>
        <v>1.2685604004479754</v>
      </c>
      <c r="T14" s="9">
        <f t="shared" si="9"/>
        <v>0.11350971015355171</v>
      </c>
    </row>
    <row r="15" spans="1:20" x14ac:dyDescent="0.35">
      <c r="A15" s="52"/>
      <c r="B15" s="1">
        <f t="shared" si="10"/>
        <v>560</v>
      </c>
      <c r="C15" s="4">
        <v>45141</v>
      </c>
      <c r="D15" s="7">
        <v>-3.1030000000000002</v>
      </c>
      <c r="E15" s="3">
        <f t="shared" si="2"/>
        <v>0.1825</v>
      </c>
      <c r="F15" s="16">
        <v>9670</v>
      </c>
      <c r="G15" s="3">
        <f t="shared" si="3"/>
        <v>1.3807491901072595</v>
      </c>
      <c r="H15" s="37">
        <v>-3.09</v>
      </c>
      <c r="I15" s="3">
        <f t="shared" si="4"/>
        <v>0.18049999999999999</v>
      </c>
      <c r="J15" s="16">
        <v>9640</v>
      </c>
      <c r="K15" s="3">
        <f t="shared" si="5"/>
        <v>1.4203051025775908</v>
      </c>
      <c r="L15" s="7">
        <v>-3.3849999999999998</v>
      </c>
      <c r="M15" s="3">
        <f t="shared" si="6"/>
        <v>0.18575000000000011</v>
      </c>
      <c r="N15" s="16">
        <v>9710</v>
      </c>
      <c r="O15" s="3">
        <f t="shared" si="7"/>
        <v>1.2660868114218931</v>
      </c>
      <c r="P15" s="23">
        <f t="shared" ref="P15:P17" si="13">IF(ISBLANK(D15),NA(),AVERAGE(E15,I15,M15))</f>
        <v>0.1829166666666667</v>
      </c>
      <c r="Q15" s="8">
        <f t="shared" ref="Q15:Q17" si="14">IF(ISBLANK(D15),NA(),_xlfn.STDEV.P(E15,I15,M15))</f>
        <v>2.1634591642912455E-3</v>
      </c>
      <c r="R15" s="8"/>
      <c r="S15" s="23">
        <f t="shared" ref="S15:S17" si="15">AVERAGE(G15,K15,O15)</f>
        <v>1.3557137013689144</v>
      </c>
      <c r="T15" s="9">
        <f t="shared" ref="T15:T17" si="16">_xlfn.STDEV.P(G15,K15,O15)</f>
        <v>6.5400826213036695E-2</v>
      </c>
    </row>
    <row r="16" spans="1:20" x14ac:dyDescent="0.35">
      <c r="A16" s="52"/>
      <c r="B16" s="1">
        <f>IF(ISBLANK(C16),NA(),C16-C$7+1)</f>
        <v>728</v>
      </c>
      <c r="C16" s="4">
        <v>45309</v>
      </c>
      <c r="D16" s="7">
        <v>-3.093</v>
      </c>
      <c r="E16" s="3">
        <f t="shared" si="2"/>
        <v>0.18500000000000008</v>
      </c>
      <c r="F16" s="16">
        <v>9675</v>
      </c>
      <c r="G16" s="3">
        <f t="shared" si="3"/>
        <v>1.4331694327081423</v>
      </c>
      <c r="H16" s="37">
        <v>-3.0779999999999998</v>
      </c>
      <c r="I16" s="3">
        <f t="shared" si="4"/>
        <v>0.18350000000000002</v>
      </c>
      <c r="J16" s="16">
        <v>9645</v>
      </c>
      <c r="K16" s="3">
        <f t="shared" si="5"/>
        <v>1.4729089952656496</v>
      </c>
      <c r="L16" s="7">
        <v>-3.375</v>
      </c>
      <c r="M16" s="3">
        <f t="shared" si="6"/>
        <v>0.18825000000000003</v>
      </c>
      <c r="N16" s="16">
        <v>9720</v>
      </c>
      <c r="O16" s="3">
        <f t="shared" si="7"/>
        <v>1.3703773230711431</v>
      </c>
      <c r="P16" s="23">
        <f t="shared" si="13"/>
        <v>0.18558333333333335</v>
      </c>
      <c r="Q16" s="8">
        <f t="shared" si="14"/>
        <v>1.9825628755617162E-3</v>
      </c>
      <c r="R16" s="8"/>
      <c r="S16" s="23">
        <f t="shared" si="15"/>
        <v>1.4254852503483117</v>
      </c>
      <c r="T16" s="9">
        <f t="shared" si="16"/>
        <v>4.2209564039877502E-2</v>
      </c>
    </row>
    <row r="17" spans="1:22" x14ac:dyDescent="0.35">
      <c r="A17" s="52"/>
      <c r="B17" s="1" t="e">
        <f t="shared" si="10"/>
        <v>#N/A</v>
      </c>
      <c r="C17" s="4"/>
      <c r="D17" s="7"/>
      <c r="E17" s="3" t="e">
        <f t="shared" si="2"/>
        <v>#N/A</v>
      </c>
      <c r="F17" s="16"/>
      <c r="G17" s="3" t="e">
        <f t="shared" si="3"/>
        <v>#N/A</v>
      </c>
      <c r="H17" s="7"/>
      <c r="I17" s="3" t="e">
        <f t="shared" si="4"/>
        <v>#N/A</v>
      </c>
      <c r="J17" s="16"/>
      <c r="K17" s="3" t="e">
        <f t="shared" si="5"/>
        <v>#N/A</v>
      </c>
      <c r="L17" s="7"/>
      <c r="M17" s="3">
        <f t="shared" si="6"/>
        <v>1.032</v>
      </c>
      <c r="N17" s="16"/>
      <c r="O17" s="3" t="e">
        <f t="shared" si="7"/>
        <v>#N/A</v>
      </c>
      <c r="P17" s="23" t="e">
        <f t="shared" si="13"/>
        <v>#N/A</v>
      </c>
      <c r="Q17" s="8" t="e">
        <f t="shared" si="14"/>
        <v>#N/A</v>
      </c>
      <c r="R17" s="8"/>
      <c r="S17" s="23" t="e">
        <f t="shared" si="15"/>
        <v>#N/A</v>
      </c>
      <c r="T17" s="9" t="e">
        <f t="shared" si="16"/>
        <v>#N/A</v>
      </c>
    </row>
    <row r="19" spans="1:22" x14ac:dyDescent="0.35">
      <c r="B19" s="21"/>
      <c r="S19"/>
      <c r="T19"/>
      <c r="U19"/>
    </row>
    <row r="20" spans="1:22" x14ac:dyDescent="0.35">
      <c r="S20"/>
      <c r="T20"/>
      <c r="U20"/>
    </row>
    <row r="21" spans="1:22" x14ac:dyDescent="0.35">
      <c r="C21" s="21"/>
    </row>
    <row r="22" spans="1:22" x14ac:dyDescent="0.35">
      <c r="C22" s="40" t="s">
        <v>10</v>
      </c>
      <c r="D22" s="13" t="s">
        <v>9</v>
      </c>
      <c r="E22" s="13" t="s">
        <v>11</v>
      </c>
      <c r="F22" s="48" t="s">
        <v>14</v>
      </c>
      <c r="G22" s="50"/>
      <c r="H22" s="48" t="s">
        <v>55</v>
      </c>
      <c r="I22" s="49"/>
      <c r="J22" s="40" t="s">
        <v>63</v>
      </c>
      <c r="K22" s="40"/>
      <c r="L22" s="40"/>
      <c r="M22" s="40"/>
      <c r="N22" s="40"/>
      <c r="O22" s="40"/>
      <c r="P22" s="40"/>
      <c r="Q22" s="40"/>
      <c r="R22" s="40"/>
      <c r="S22" s="40"/>
      <c r="T22" s="40"/>
      <c r="U22"/>
      <c r="V22"/>
    </row>
    <row r="23" spans="1:22" ht="16.5" x14ac:dyDescent="0.35">
      <c r="C23" s="40"/>
      <c r="D23" s="13"/>
      <c r="E23" s="13"/>
      <c r="F23" s="14" t="s">
        <v>12</v>
      </c>
      <c r="G23" s="14" t="s">
        <v>13</v>
      </c>
      <c r="H23" s="14" t="s">
        <v>52</v>
      </c>
      <c r="I23" s="14" t="s">
        <v>54</v>
      </c>
      <c r="J23" s="14" t="s">
        <v>65</v>
      </c>
      <c r="K23" s="14" t="s">
        <v>67</v>
      </c>
      <c r="L23" s="14" t="s">
        <v>69</v>
      </c>
      <c r="M23" s="14" t="s">
        <v>71</v>
      </c>
      <c r="N23" s="14" t="s">
        <v>73</v>
      </c>
      <c r="O23" s="14" t="s">
        <v>89</v>
      </c>
      <c r="P23" s="14" t="s">
        <v>90</v>
      </c>
      <c r="Q23" s="14" t="s">
        <v>92</v>
      </c>
      <c r="R23" s="14" t="s">
        <v>75</v>
      </c>
      <c r="S23" s="14" t="s">
        <v>77</v>
      </c>
      <c r="T23" s="14" t="s">
        <v>79</v>
      </c>
      <c r="U23"/>
      <c r="V23"/>
    </row>
    <row r="24" spans="1:22" x14ac:dyDescent="0.35">
      <c r="B24" s="1">
        <f>IF(ISBLANK(D24),NA(),C24-$C$24)</f>
        <v>0</v>
      </c>
      <c r="C24" s="4">
        <f>C7-1</f>
        <v>44581</v>
      </c>
      <c r="D24" s="16">
        <v>24.7</v>
      </c>
      <c r="E24" s="16">
        <f>D24/0.0129</f>
        <v>1914.7286821705425</v>
      </c>
      <c r="F24" s="1">
        <v>0</v>
      </c>
      <c r="G24" s="1">
        <v>0</v>
      </c>
      <c r="H24" s="16">
        <f>IF(ISBLANK(F24),NA(),F24*62/(23*2)*$E24/1000)</f>
        <v>0</v>
      </c>
      <c r="I24" s="16">
        <f t="shared" ref="I24:I33" si="17">IF(ISBLANK(G24),NA(),G24*62/(23*2)*$E24/1000)</f>
        <v>0</v>
      </c>
      <c r="J24" s="16">
        <f>100*((H24/1000)/INDEX(Alkalis!$K$3:$K$12,MATCH($B$1,Alkalis!$A$3:$A$12,0)))</f>
        <v>0</v>
      </c>
      <c r="K24" s="16">
        <f>100*((I24/1000)/INDEX(Alkalis!$K$3:$K$12,MATCH($B$1,Alkalis!$A$3:$A$12,0)))</f>
        <v>0</v>
      </c>
      <c r="L24" s="7">
        <f>100*(H24/1000)/(3*440*0.1*0.1*0.4*1000)</f>
        <v>0</v>
      </c>
      <c r="M24" s="7">
        <f>100*(I24/1000)/(3*440*0.1*0.1*0.4*1000)</f>
        <v>0</v>
      </c>
      <c r="N24" s="23">
        <f t="shared" ref="N24:N30" si="18">L24+0.658*M24</f>
        <v>0</v>
      </c>
      <c r="O24" s="9">
        <f>100*L24/INDEX(Alkalis!G$3:G$12,MATCH($B$1,Alkalis!$A$3:$A$12,0))</f>
        <v>0</v>
      </c>
      <c r="P24" s="9">
        <f>100*M24/INDEX(Alkalis!H$3:H$12,MATCH($B$1,Alkalis!$A$3:$A$12,0))</f>
        <v>0</v>
      </c>
      <c r="Q24" s="23">
        <f>100*N24/INDEX(Alkalis!I$3:I$12,MATCH($B$1,Alkalis!$A$3:$A$12,0))</f>
        <v>0</v>
      </c>
      <c r="R24" s="9">
        <f t="shared" ref="R24:R30" si="19">440*L24/100</f>
        <v>0</v>
      </c>
      <c r="S24" s="9">
        <f t="shared" ref="S24:S30" si="20">440*M24/100</f>
        <v>0</v>
      </c>
      <c r="T24" s="23">
        <f t="shared" ref="T24:T30" si="21">440*N24/100</f>
        <v>0</v>
      </c>
      <c r="U24"/>
      <c r="V24"/>
    </row>
    <row r="25" spans="1:22" x14ac:dyDescent="0.35">
      <c r="B25" s="1">
        <f t="shared" ref="B25:B33" si="22">IF(ISBLANK(D25),NA(),C25-$C$24)</f>
        <v>27</v>
      </c>
      <c r="C25" s="4">
        <f t="shared" ref="C25:C33" si="23">C9</f>
        <v>44608</v>
      </c>
      <c r="D25" s="16">
        <v>25.1</v>
      </c>
      <c r="E25" s="16">
        <f>D25/0.0129</f>
        <v>1945.7364341085272</v>
      </c>
      <c r="F25" s="1">
        <v>32.985604187822673</v>
      </c>
      <c r="G25" s="1">
        <v>152.57342280166276</v>
      </c>
      <c r="H25" s="16">
        <f t="shared" ref="H25:H33" si="24">IF(ISBLANK(F25),NA(),F25*62/(23*2)*$E25/1000)</f>
        <v>86.505219476052645</v>
      </c>
      <c r="I25" s="16">
        <f t="shared" si="17"/>
        <v>400.12598679465384</v>
      </c>
      <c r="J25" s="16">
        <f>100*((H25/1000)/INDEX(Alkalis!$K$3:$K$12,MATCH($B$1,Alkalis!$A$3:$A$12,0)))</f>
        <v>0.35385668023125133</v>
      </c>
      <c r="K25" s="16">
        <f>100*((I25/1000)/INDEX(Alkalis!$K$3:$K$12,MATCH($B$1,Alkalis!$A$3:$A$12,0)))</f>
        <v>1.6367480970394568</v>
      </c>
      <c r="L25" s="7">
        <f t="shared" ref="L25:L33" si="25">100*(H25/1000)/(3*440*0.1*0.1*0.4*1000)</f>
        <v>1.6383564294706939E-3</v>
      </c>
      <c r="M25" s="7">
        <f t="shared" ref="M25:M33" si="26">100*(I25/1000)/(3*440*0.1*0.1*0.4*1000)</f>
        <v>7.5781436892926853E-3</v>
      </c>
      <c r="N25" s="23">
        <f t="shared" si="18"/>
        <v>6.6247749770252809E-3</v>
      </c>
      <c r="O25" s="9">
        <f>100*L25/INDEX(Alkalis!G$3:G$12,MATCH($B$1,Alkalis!$A$3:$A$12,0))</f>
        <v>0.35385668023125144</v>
      </c>
      <c r="P25" s="9">
        <f>100*M25/INDEX(Alkalis!H$3:H$12,MATCH($B$1,Alkalis!$A$3:$A$12,0))</f>
        <v>0.26877615496693336</v>
      </c>
      <c r="Q25" s="23">
        <f>100*N25/INDEX(Alkalis!I$3:I$12,MATCH($B$1,Alkalis!$A$3:$A$12,0))</f>
        <v>0.28576854407629271</v>
      </c>
      <c r="R25" s="9">
        <f t="shared" si="19"/>
        <v>7.2087682896710536E-3</v>
      </c>
      <c r="S25" s="9">
        <f t="shared" si="20"/>
        <v>3.3343832232887817E-2</v>
      </c>
      <c r="T25" s="23">
        <f t="shared" si="21"/>
        <v>2.9149009898911237E-2</v>
      </c>
      <c r="U25"/>
      <c r="V25"/>
    </row>
    <row r="26" spans="1:22" x14ac:dyDescent="0.35">
      <c r="B26" s="1">
        <f t="shared" si="22"/>
        <v>55</v>
      </c>
      <c r="C26" s="4">
        <f t="shared" si="23"/>
        <v>44636</v>
      </c>
      <c r="D26" s="16">
        <v>20.9</v>
      </c>
      <c r="E26" s="16">
        <f t="shared" ref="E26:E33" si="27">D26/0.0129</f>
        <v>1620.1550387596899</v>
      </c>
      <c r="F26" s="1">
        <v>58.627435185358991</v>
      </c>
      <c r="G26" s="1">
        <v>293.00712097019772</v>
      </c>
      <c r="H26" s="16">
        <f t="shared" si="24"/>
        <v>128.02398131646137</v>
      </c>
      <c r="I26" s="16">
        <f t="shared" si="17"/>
        <v>639.83590723488737</v>
      </c>
      <c r="J26" s="16">
        <f>100*((H26/1000)/INDEX(Alkalis!$K$3:$K$12,MATCH($B$1,Alkalis!$A$3:$A$12,0)))</f>
        <v>0.52369257361599797</v>
      </c>
      <c r="K26" s="16">
        <f>100*((I26/1000)/INDEX(Alkalis!$K$3:$K$12,MATCH($B$1,Alkalis!$A$3:$A$12,0)))</f>
        <v>2.6173011455056252</v>
      </c>
      <c r="L26" s="7">
        <f t="shared" si="25"/>
        <v>2.424696615842071E-3</v>
      </c>
      <c r="M26" s="7">
        <f t="shared" si="26"/>
        <v>1.2118104303691047E-2</v>
      </c>
      <c r="N26" s="23">
        <f t="shared" si="18"/>
        <v>1.0398409247670781E-2</v>
      </c>
      <c r="O26" s="9">
        <f>100*L26/INDEX(Alkalis!G$3:G$12,MATCH($B$1,Alkalis!$A$3:$A$12,0))</f>
        <v>0.52369257361599808</v>
      </c>
      <c r="P26" s="9">
        <f>100*M26/INDEX(Alkalis!H$3:H$12,MATCH($B$1,Alkalis!$A$3:$A$12,0))</f>
        <v>0.42979621577198251</v>
      </c>
      <c r="Q26" s="23">
        <f>100*N26/INDEX(Alkalis!I$3:I$12,MATCH($B$1,Alkalis!$A$3:$A$12,0))</f>
        <v>0.44854931401015607</v>
      </c>
      <c r="R26" s="9">
        <f t="shared" si="19"/>
        <v>1.0668665109705114E-2</v>
      </c>
      <c r="S26" s="9">
        <f t="shared" si="20"/>
        <v>5.3319658936240612E-2</v>
      </c>
      <c r="T26" s="23">
        <f t="shared" si="21"/>
        <v>4.5753000689751432E-2</v>
      </c>
      <c r="U26"/>
      <c r="V26"/>
    </row>
    <row r="27" spans="1:22" x14ac:dyDescent="0.35">
      <c r="B27" s="1">
        <f t="shared" si="22"/>
        <v>89</v>
      </c>
      <c r="C27" s="4">
        <f t="shared" si="23"/>
        <v>44670</v>
      </c>
      <c r="D27" s="16">
        <v>24</v>
      </c>
      <c r="E27" s="16">
        <f t="shared" si="27"/>
        <v>1860.4651162790697</v>
      </c>
      <c r="F27" s="1">
        <v>82.048370086283882</v>
      </c>
      <c r="G27" s="1">
        <v>362.47750361459896</v>
      </c>
      <c r="H27" s="16">
        <f t="shared" si="24"/>
        <v>205.74313226894239</v>
      </c>
      <c r="I27" s="16">
        <f t="shared" si="17"/>
        <v>908.94257731466666</v>
      </c>
      <c r="J27" s="16">
        <f>100*((H27/1000)/INDEX(Alkalis!$K$3:$K$12,MATCH($B$1,Alkalis!$A$3:$A$12,0)))</f>
        <v>0.84160912146141087</v>
      </c>
      <c r="K27" s="16">
        <f>100*((I27/1000)/INDEX(Alkalis!$K$3:$K$12,MATCH($B$1,Alkalis!$A$3:$A$12,0)))</f>
        <v>3.7181040043305615</v>
      </c>
      <c r="L27" s="7">
        <f t="shared" si="25"/>
        <v>3.8966502323663325E-3</v>
      </c>
      <c r="M27" s="7">
        <f t="shared" si="26"/>
        <v>1.7214821540050503E-2</v>
      </c>
      <c r="N27" s="23">
        <f t="shared" si="18"/>
        <v>1.5224002805719564E-2</v>
      </c>
      <c r="O27" s="9">
        <f>100*L27/INDEX(Alkalis!G$3:G$12,MATCH($B$1,Alkalis!$A$3:$A$12,0))</f>
        <v>0.84160912146141098</v>
      </c>
      <c r="P27" s="9">
        <f>100*M27/INDEX(Alkalis!H$3:H$12,MATCH($B$1,Alkalis!$A$3:$A$12,0))</f>
        <v>0.6105629203777444</v>
      </c>
      <c r="Q27" s="23">
        <f>100*N27/INDEX(Alkalis!I$3:I$12,MATCH($B$1,Alkalis!$A$3:$A$12,0))</f>
        <v>0.65670775715274132</v>
      </c>
      <c r="R27" s="9">
        <f t="shared" si="19"/>
        <v>1.7145261022411862E-2</v>
      </c>
      <c r="S27" s="9">
        <f t="shared" si="20"/>
        <v>7.5745214776222203E-2</v>
      </c>
      <c r="T27" s="23">
        <f t="shared" si="21"/>
        <v>6.698561234516609E-2</v>
      </c>
      <c r="U27"/>
      <c r="V27"/>
    </row>
    <row r="28" spans="1:22" x14ac:dyDescent="0.35">
      <c r="B28" s="1">
        <f t="shared" si="22"/>
        <v>197</v>
      </c>
      <c r="C28" s="4">
        <f t="shared" si="23"/>
        <v>44778</v>
      </c>
      <c r="D28" s="16">
        <v>23</v>
      </c>
      <c r="E28" s="16">
        <f t="shared" si="27"/>
        <v>1782.9457364341085</v>
      </c>
      <c r="F28" s="1">
        <v>153.99207680808064</v>
      </c>
      <c r="G28" s="1">
        <v>678.54203423473268</v>
      </c>
      <c r="H28" s="16">
        <f t="shared" si="24"/>
        <v>370.05847915120154</v>
      </c>
      <c r="I28" s="16">
        <f t="shared" si="17"/>
        <v>1630.6048884710631</v>
      </c>
      <c r="J28" s="16">
        <f>100*((H28/1000)/INDEX(Alkalis!$K$3:$K$12,MATCH($B$1,Alkalis!$A$3:$A$12,0)))</f>
        <v>1.5137544961679488</v>
      </c>
      <c r="K28" s="16">
        <f>100*((I28/1000)/INDEX(Alkalis!$K$3:$K$12,MATCH($B$1,Alkalis!$A$3:$A$12,0)))</f>
        <v>6.6701227521069049</v>
      </c>
      <c r="L28" s="7">
        <f t="shared" si="25"/>
        <v>7.0086833172576038E-3</v>
      </c>
      <c r="M28" s="7">
        <f t="shared" si="26"/>
        <v>3.088266834225498E-2</v>
      </c>
      <c r="N28" s="23">
        <f t="shared" si="18"/>
        <v>2.732947908646138E-2</v>
      </c>
      <c r="O28" s="9">
        <f>100*L28/INDEX(Alkalis!G$3:G$12,MATCH($B$1,Alkalis!$A$3:$A$12,0))</f>
        <v>1.513754496167949</v>
      </c>
      <c r="P28" s="9">
        <f>100*M28/INDEX(Alkalis!H$3:H$12,MATCH($B$1,Alkalis!$A$3:$A$12,0))</f>
        <v>1.0953242894929947</v>
      </c>
      <c r="Q28" s="23">
        <f>100*N28/INDEX(Alkalis!I$3:I$12,MATCH($B$1,Alkalis!$A$3:$A$12,0))</f>
        <v>1.1788936946517143</v>
      </c>
      <c r="R28" s="9">
        <f t="shared" si="19"/>
        <v>3.0838206595933455E-2</v>
      </c>
      <c r="S28" s="9">
        <f t="shared" si="20"/>
        <v>0.13588374070592191</v>
      </c>
      <c r="T28" s="23">
        <f t="shared" si="21"/>
        <v>0.12024970798043007</v>
      </c>
      <c r="U28"/>
      <c r="V28"/>
    </row>
    <row r="29" spans="1:22" x14ac:dyDescent="0.35">
      <c r="B29" s="1">
        <f t="shared" si="22"/>
        <v>371</v>
      </c>
      <c r="C29" s="4">
        <f t="shared" si="23"/>
        <v>44952</v>
      </c>
      <c r="D29" s="16">
        <v>21.8</v>
      </c>
      <c r="E29" s="16">
        <f t="shared" si="27"/>
        <v>1689.9224806201551</v>
      </c>
      <c r="F29" s="1">
        <v>402.8845794246555</v>
      </c>
      <c r="G29" s="1">
        <v>1732.1167945078412</v>
      </c>
      <c r="H29" s="16">
        <f t="shared" si="24"/>
        <v>917.65891060054662</v>
      </c>
      <c r="I29" s="16">
        <f t="shared" si="17"/>
        <v>3945.2798440458346</v>
      </c>
      <c r="J29" s="16">
        <f>100*((H29/1000)/INDEX(Alkalis!$K$3:$K$12,MATCH($B$1,Alkalis!$A$3:$A$12,0)))</f>
        <v>3.7537588790191858</v>
      </c>
      <c r="K29" s="16">
        <f>100*((I29/1000)/INDEX(Alkalis!$K$3:$K$12,MATCH($B$1,Alkalis!$A$3:$A$12,0)))</f>
        <v>16.138490100979421</v>
      </c>
      <c r="L29" s="7">
        <f t="shared" si="25"/>
        <v>1.7379903609858832E-2</v>
      </c>
      <c r="M29" s="7">
        <f t="shared" si="26"/>
        <v>7.4721209167534733E-2</v>
      </c>
      <c r="N29" s="23">
        <f t="shared" si="18"/>
        <v>6.6546459242096678E-2</v>
      </c>
      <c r="O29" s="9">
        <f>100*L29/INDEX(Alkalis!G$3:G$12,MATCH($B$1,Alkalis!$A$3:$A$12,0))</f>
        <v>3.7537588790191867</v>
      </c>
      <c r="P29" s="9">
        <f>100*M29/INDEX(Alkalis!H$3:H$12,MATCH($B$1,Alkalis!$A$3:$A$12,0))</f>
        <v>2.6501581545499109</v>
      </c>
      <c r="Q29" s="23">
        <f>100*N29/INDEX(Alkalis!I$3:I$12,MATCH($B$1,Alkalis!$A$3:$A$12,0))</f>
        <v>2.8705706740224195</v>
      </c>
      <c r="R29" s="9">
        <f t="shared" si="19"/>
        <v>7.6471575883378856E-2</v>
      </c>
      <c r="S29" s="9">
        <f t="shared" si="20"/>
        <v>0.32877332033715284</v>
      </c>
      <c r="T29" s="23">
        <f t="shared" si="21"/>
        <v>0.29280442066522538</v>
      </c>
      <c r="U29"/>
      <c r="V29"/>
    </row>
    <row r="30" spans="1:22" x14ac:dyDescent="0.35">
      <c r="B30" s="1">
        <f t="shared" si="22"/>
        <v>462</v>
      </c>
      <c r="C30" s="4">
        <f t="shared" si="23"/>
        <v>45043</v>
      </c>
      <c r="D30" s="16">
        <v>25.6</v>
      </c>
      <c r="E30" s="16">
        <f t="shared" si="27"/>
        <v>1984.4961240310079</v>
      </c>
      <c r="F30" s="1">
        <f>100*6.08800306670695</f>
        <v>608.80030667069502</v>
      </c>
      <c r="G30" s="1">
        <f>100*25.2076418608033</f>
        <v>2520.7641860803301</v>
      </c>
      <c r="H30" s="16">
        <f t="shared" si="24"/>
        <v>1628.3920572088425</v>
      </c>
      <c r="I30" s="16">
        <f t="shared" si="17"/>
        <v>6742.42823752393</v>
      </c>
      <c r="J30" s="16">
        <f>100*((H30/1000)/INDEX(Alkalis!$K$3:$K$12,MATCH($B$1,Alkalis!$A$3:$A$12,0)))</f>
        <v>6.6610709847210305</v>
      </c>
      <c r="K30" s="16">
        <f>100*((I30/1000)/INDEX(Alkalis!$K$3:$K$12,MATCH($B$1,Alkalis!$A$3:$A$12,0)))</f>
        <v>27.58045453532597</v>
      </c>
      <c r="L30" s="7">
        <f t="shared" si="25"/>
        <v>3.0840758659258376E-2</v>
      </c>
      <c r="M30" s="7">
        <f t="shared" si="26"/>
        <v>0.12769750449855924</v>
      </c>
      <c r="N30" s="23">
        <f t="shared" si="18"/>
        <v>0.11486571661931036</v>
      </c>
      <c r="O30" s="9">
        <f>100*L30/INDEX(Alkalis!G$3:G$12,MATCH($B$1,Alkalis!$A$3:$A$12,0))</f>
        <v>6.6610709847210323</v>
      </c>
      <c r="P30" s="9">
        <f>100*M30/INDEX(Alkalis!H$3:H$12,MATCH($B$1,Alkalis!$A$3:$A$12,0))</f>
        <v>4.5290833303266274</v>
      </c>
      <c r="Q30" s="23">
        <f>100*N30/INDEX(Alkalis!I$3:I$12,MATCH($B$1,Alkalis!$A$3:$A$12,0))</f>
        <v>4.954886575984462</v>
      </c>
      <c r="R30" s="9">
        <f t="shared" si="19"/>
        <v>0.13569933810073687</v>
      </c>
      <c r="S30" s="9">
        <f t="shared" si="20"/>
        <v>0.56186901979366066</v>
      </c>
      <c r="T30" s="23">
        <f t="shared" si="21"/>
        <v>0.50540915312496559</v>
      </c>
      <c r="U30"/>
      <c r="V30"/>
    </row>
    <row r="31" spans="1:22" x14ac:dyDescent="0.35">
      <c r="B31" s="1">
        <f t="shared" si="22"/>
        <v>560</v>
      </c>
      <c r="C31" s="4">
        <f t="shared" si="23"/>
        <v>45141</v>
      </c>
      <c r="D31" s="16">
        <v>24.6</v>
      </c>
      <c r="E31" s="16">
        <f t="shared" si="27"/>
        <v>1906.9767441860465</v>
      </c>
      <c r="F31" s="1">
        <f>100*7.27352791381215</f>
        <v>727.35279138121496</v>
      </c>
      <c r="G31" s="1">
        <f>100*29.9694112119945</f>
        <v>2996.9411211994502</v>
      </c>
      <c r="H31" s="16">
        <f t="shared" si="24"/>
        <v>1869.4952433680976</v>
      </c>
      <c r="I31" s="16">
        <f t="shared" si="17"/>
        <v>7702.9568554994976</v>
      </c>
      <c r="J31" s="16">
        <f>100*((H31/1000)/INDEX(Alkalis!$K$3:$K$12,MATCH($B$1,Alkalis!$A$3:$A$12,0)))</f>
        <v>7.6473233006418004</v>
      </c>
      <c r="K31" s="16">
        <f>100*((I31/1000)/INDEX(Alkalis!$K$3:$K$12,MATCH($B$1,Alkalis!$A$3:$A$12,0)))</f>
        <v>31.509575461006506</v>
      </c>
      <c r="L31" s="7">
        <f t="shared" si="25"/>
        <v>3.5407106881971538E-2</v>
      </c>
      <c r="M31" s="7">
        <f t="shared" si="26"/>
        <v>0.14588933438446017</v>
      </c>
      <c r="N31" s="23">
        <f t="shared" ref="N31:N33" si="28">L31+0.658*M31</f>
        <v>0.13140228890694633</v>
      </c>
      <c r="O31" s="9">
        <f>100*L31/INDEX(Alkalis!G$3:G$12,MATCH($B$1,Alkalis!$A$3:$A$12,0))</f>
        <v>7.6473233006418013</v>
      </c>
      <c r="P31" s="9">
        <f>100*M31/INDEX(Alkalis!H$3:H$12,MATCH($B$1,Alkalis!$A$3:$A$12,0))</f>
        <v>5.1742980806689189</v>
      </c>
      <c r="Q31" s="23">
        <f>100*N31/INDEX(Alkalis!I$3:I$12,MATCH($B$1,Alkalis!$A$3:$A$12,0))</f>
        <v>5.6682137762348246</v>
      </c>
      <c r="R31" s="9">
        <f t="shared" ref="R31:R33" si="29">440*L31/100</f>
        <v>0.15579127028067477</v>
      </c>
      <c r="S31" s="9">
        <f t="shared" ref="S31:S33" si="30">440*M31/100</f>
        <v>0.64191307129162467</v>
      </c>
      <c r="T31" s="23">
        <f t="shared" ref="T31:T33" si="31">440*N31/100</f>
        <v>0.57817007119056385</v>
      </c>
      <c r="U31"/>
      <c r="V31"/>
    </row>
    <row r="32" spans="1:22" x14ac:dyDescent="0.35">
      <c r="B32" s="1">
        <f t="shared" si="22"/>
        <v>728</v>
      </c>
      <c r="C32" s="4">
        <f t="shared" si="23"/>
        <v>45309</v>
      </c>
      <c r="D32" s="16">
        <v>24.3</v>
      </c>
      <c r="E32" s="16">
        <f t="shared" si="27"/>
        <v>1883.7209302325582</v>
      </c>
      <c r="F32" s="1">
        <f>100*9.51952801108163</f>
        <v>951.95280110816293</v>
      </c>
      <c r="G32" s="1">
        <f>100*41.2669855530087</f>
        <v>4126.6985553008699</v>
      </c>
      <c r="H32" s="16">
        <f t="shared" si="24"/>
        <v>2416.9398216204213</v>
      </c>
      <c r="I32" s="16">
        <f t="shared" si="17"/>
        <v>10477.39137751313</v>
      </c>
      <c r="J32" s="16">
        <f>100*((H32/1000)/INDEX(Alkalis!$K$3:$K$12,MATCH($B$1,Alkalis!$A$3:$A$12,0)))</f>
        <v>9.8866901532349161</v>
      </c>
      <c r="K32" s="16">
        <f>100*((I32/1000)/INDEX(Alkalis!$K$3:$K$12,MATCH($B$1,Alkalis!$A$3:$A$12,0)))</f>
        <v>42.858626945125359</v>
      </c>
      <c r="L32" s="7">
        <f t="shared" si="25"/>
        <v>4.5775375409477667E-2</v>
      </c>
      <c r="M32" s="7">
        <f t="shared" si="26"/>
        <v>0.19843544275593045</v>
      </c>
      <c r="N32" s="23">
        <f t="shared" si="28"/>
        <v>0.17634589674287993</v>
      </c>
      <c r="O32" s="9">
        <f>100*L32/INDEX(Alkalis!G$3:G$12,MATCH($B$1,Alkalis!$A$3:$A$12,0))</f>
        <v>9.8866901532349178</v>
      </c>
      <c r="P32" s="9">
        <f>100*M32/INDEX(Alkalis!H$3:H$12,MATCH($B$1,Alkalis!$A$3:$A$12,0))</f>
        <v>7.037965694482371</v>
      </c>
      <c r="Q32" s="23">
        <f>100*N32/INDEX(Alkalis!I$3:I$12,MATCH($B$1,Alkalis!$A$3:$A$12,0))</f>
        <v>7.6069165127582172</v>
      </c>
      <c r="R32" s="9">
        <f t="shared" si="29"/>
        <v>0.20141165180170173</v>
      </c>
      <c r="S32" s="9">
        <f t="shared" si="30"/>
        <v>0.87311594812609394</v>
      </c>
      <c r="T32" s="23">
        <f t="shared" si="31"/>
        <v>0.77592194566867168</v>
      </c>
      <c r="U32"/>
      <c r="V32"/>
    </row>
    <row r="33" spans="2:22" x14ac:dyDescent="0.35">
      <c r="B33" s="1" t="e">
        <f t="shared" si="22"/>
        <v>#N/A</v>
      </c>
      <c r="C33" s="4">
        <f t="shared" si="23"/>
        <v>0</v>
      </c>
      <c r="D33" s="16"/>
      <c r="E33" s="16">
        <f t="shared" si="27"/>
        <v>0</v>
      </c>
      <c r="F33" s="1"/>
      <c r="G33" s="1"/>
      <c r="H33" s="16" t="e">
        <f t="shared" si="24"/>
        <v>#N/A</v>
      </c>
      <c r="I33" s="16" t="e">
        <f t="shared" si="17"/>
        <v>#N/A</v>
      </c>
      <c r="J33" s="16" t="e">
        <f>100*((H33/1000)/INDEX(Alkalis!$K$3:$K$12,MATCH($B$1,Alkalis!$A$3:$A$12,0)))</f>
        <v>#N/A</v>
      </c>
      <c r="K33" s="16" t="e">
        <f>100*((I33/1000)/INDEX(Alkalis!$K$3:$K$12,MATCH($B$1,Alkalis!$A$3:$A$12,0)))</f>
        <v>#N/A</v>
      </c>
      <c r="L33" s="7" t="e">
        <f t="shared" si="25"/>
        <v>#N/A</v>
      </c>
      <c r="M33" s="7" t="e">
        <f t="shared" si="26"/>
        <v>#N/A</v>
      </c>
      <c r="N33" s="23" t="e">
        <f t="shared" si="28"/>
        <v>#N/A</v>
      </c>
      <c r="O33" s="9" t="e">
        <f>100*L33/INDEX(Alkalis!G$3:G$12,MATCH($B$1,Alkalis!$A$3:$A$12,0))</f>
        <v>#N/A</v>
      </c>
      <c r="P33" s="9" t="e">
        <f>100*M33/INDEX(Alkalis!H$3:H$12,MATCH($B$1,Alkalis!$A$3:$A$12,0))</f>
        <v>#N/A</v>
      </c>
      <c r="Q33" s="23" t="e">
        <f>100*N33/INDEX(Alkalis!I$3:I$12,MATCH($B$1,Alkalis!$A$3:$A$12,0))</f>
        <v>#N/A</v>
      </c>
      <c r="R33" s="9" t="e">
        <f t="shared" si="29"/>
        <v>#N/A</v>
      </c>
      <c r="S33" s="9" t="e">
        <f t="shared" si="30"/>
        <v>#N/A</v>
      </c>
      <c r="T33" s="23" t="e">
        <f t="shared" si="31"/>
        <v>#N/A</v>
      </c>
      <c r="U33"/>
      <c r="V33"/>
    </row>
    <row r="34" spans="2:22" x14ac:dyDescent="0.35">
      <c r="U34"/>
      <c r="V34"/>
    </row>
    <row r="35" spans="2:22" x14ac:dyDescent="0.35">
      <c r="U35"/>
      <c r="V35"/>
    </row>
    <row r="36" spans="2:22" x14ac:dyDescent="0.35">
      <c r="U36"/>
      <c r="V36"/>
    </row>
  </sheetData>
  <mergeCells count="20">
    <mergeCell ref="A7:A17"/>
    <mergeCell ref="R3:R4"/>
    <mergeCell ref="B6:C6"/>
    <mergeCell ref="L5:M5"/>
    <mergeCell ref="P3:P4"/>
    <mergeCell ref="Q3:Q4"/>
    <mergeCell ref="D3:G3"/>
    <mergeCell ref="L3:O3"/>
    <mergeCell ref="H3:K3"/>
    <mergeCell ref="B1:C1"/>
    <mergeCell ref="B3:C4"/>
    <mergeCell ref="B5:C5"/>
    <mergeCell ref="D5:E5"/>
    <mergeCell ref="H5:I5"/>
    <mergeCell ref="C22:C23"/>
    <mergeCell ref="H22:I22"/>
    <mergeCell ref="F22:G22"/>
    <mergeCell ref="J22:T22"/>
    <mergeCell ref="T3:T4"/>
    <mergeCell ref="S3:S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B6E9C-0F97-4FC0-8001-F570277B14B4}">
  <sheetPr>
    <tabColor theme="8"/>
  </sheetPr>
  <dimension ref="A1:X36"/>
  <sheetViews>
    <sheetView zoomScale="55" zoomScaleNormal="55" workbookViewId="0">
      <selection activeCell="P38" sqref="P38"/>
    </sheetView>
  </sheetViews>
  <sheetFormatPr defaultColWidth="8.81640625" defaultRowHeight="14.5" x14ac:dyDescent="0.35"/>
  <cols>
    <col min="1" max="1" width="3.54296875" style="17" bestFit="1" customWidth="1"/>
    <col min="2" max="2" width="15.26953125" style="17" bestFit="1" customWidth="1"/>
    <col min="3" max="3" width="15.26953125" style="17" customWidth="1"/>
    <col min="4" max="4" width="13.7265625" style="17" bestFit="1" customWidth="1"/>
    <col min="5" max="5" width="13.81640625" style="17" bestFit="1" customWidth="1"/>
    <col min="6" max="7" width="13.81640625" style="17" customWidth="1"/>
    <col min="8" max="8" width="13.7265625" style="17" bestFit="1" customWidth="1"/>
    <col min="9" max="9" width="13.81640625" style="17" bestFit="1" customWidth="1"/>
    <col min="10" max="11" width="13.81640625" style="17" customWidth="1"/>
    <col min="12" max="12" width="14.7265625" style="17" customWidth="1"/>
    <col min="13" max="13" width="13.81640625" style="17" bestFit="1" customWidth="1"/>
    <col min="14" max="15" width="13.81640625" style="17" customWidth="1"/>
    <col min="16" max="16" width="17.26953125" style="17" bestFit="1" customWidth="1"/>
    <col min="17" max="17" width="16.26953125" style="17" bestFit="1" customWidth="1"/>
    <col min="18" max="18" width="18.26953125" style="17" customWidth="1"/>
    <col min="19" max="19" width="16.453125" style="17" bestFit="1" customWidth="1"/>
    <col min="20" max="20" width="15.1796875" style="17" bestFit="1" customWidth="1"/>
    <col min="21" max="21" width="16.26953125" style="17" bestFit="1" customWidth="1"/>
    <col min="22" max="22" width="18.7265625" style="17" bestFit="1" customWidth="1"/>
    <col min="23" max="23" width="13.54296875" style="17" bestFit="1" customWidth="1"/>
    <col min="24" max="24" width="18.7265625" style="17" bestFit="1" customWidth="1"/>
    <col min="25" max="16384" width="8.81640625" style="17"/>
  </cols>
  <sheetData>
    <row r="1" spans="1:20" x14ac:dyDescent="0.35">
      <c r="B1" s="41" t="s">
        <v>86</v>
      </c>
      <c r="C1" s="41"/>
    </row>
    <row r="3" spans="1:20" ht="14.5" customHeight="1" x14ac:dyDescent="0.35">
      <c r="B3" s="42" t="s">
        <v>3</v>
      </c>
      <c r="C3" s="43"/>
      <c r="D3" s="46" t="s">
        <v>43</v>
      </c>
      <c r="E3" s="53"/>
      <c r="F3" s="53"/>
      <c r="G3" s="47"/>
      <c r="H3" s="46" t="s">
        <v>44</v>
      </c>
      <c r="I3" s="53"/>
      <c r="J3" s="53"/>
      <c r="K3" s="47"/>
      <c r="L3" s="46" t="s">
        <v>45</v>
      </c>
      <c r="M3" s="53"/>
      <c r="N3" s="53"/>
      <c r="O3" s="47"/>
      <c r="P3" s="51" t="s">
        <v>103</v>
      </c>
      <c r="Q3" s="39" t="s">
        <v>82</v>
      </c>
      <c r="R3" s="51" t="s">
        <v>38</v>
      </c>
      <c r="S3" s="51" t="s">
        <v>81</v>
      </c>
      <c r="T3" s="39" t="s">
        <v>82</v>
      </c>
    </row>
    <row r="4" spans="1:20" ht="14.5" customHeight="1" x14ac:dyDescent="0.35">
      <c r="B4" s="44"/>
      <c r="C4" s="45"/>
      <c r="D4" s="1" t="s">
        <v>80</v>
      </c>
      <c r="E4" s="1" t="s">
        <v>102</v>
      </c>
      <c r="F4" s="15" t="s">
        <v>15</v>
      </c>
      <c r="G4" s="15" t="s">
        <v>83</v>
      </c>
      <c r="H4" s="1" t="s">
        <v>80</v>
      </c>
      <c r="I4" s="1" t="s">
        <v>102</v>
      </c>
      <c r="J4" s="15" t="s">
        <v>15</v>
      </c>
      <c r="K4" s="15" t="s">
        <v>83</v>
      </c>
      <c r="L4" s="1" t="s">
        <v>80</v>
      </c>
      <c r="M4" s="1" t="s">
        <v>102</v>
      </c>
      <c r="N4" s="15" t="s">
        <v>15</v>
      </c>
      <c r="O4" s="15" t="s">
        <v>83</v>
      </c>
      <c r="P4" s="51"/>
      <c r="Q4" s="39"/>
      <c r="R4" s="51"/>
      <c r="S4" s="51"/>
      <c r="T4" s="39"/>
    </row>
    <row r="5" spans="1:20" ht="16.5" x14ac:dyDescent="0.35">
      <c r="A5" s="20"/>
      <c r="B5" s="46" t="s">
        <v>1</v>
      </c>
      <c r="C5" s="47"/>
      <c r="D5" s="39">
        <v>400</v>
      </c>
      <c r="E5" s="39"/>
      <c r="F5" s="1"/>
      <c r="G5" s="1"/>
      <c r="H5" s="39">
        <v>400</v>
      </c>
      <c r="I5" s="39"/>
      <c r="J5" s="1"/>
      <c r="K5" s="1"/>
      <c r="L5" s="39">
        <v>400</v>
      </c>
      <c r="M5" s="39"/>
      <c r="N5" s="1"/>
      <c r="O5" s="1"/>
      <c r="P5" s="2"/>
      <c r="Q5" s="2"/>
      <c r="R5" s="2"/>
      <c r="S5" s="2"/>
      <c r="T5" s="2"/>
    </row>
    <row r="6" spans="1:20" x14ac:dyDescent="0.35">
      <c r="A6" s="20"/>
      <c r="B6" s="46" t="s">
        <v>2</v>
      </c>
      <c r="C6" s="47"/>
      <c r="D6" s="7">
        <v>-4.2874999999999996</v>
      </c>
      <c r="E6" s="5">
        <f>100*(D7-$D$6)/$D$5</f>
        <v>4.8624999999999918E-2</v>
      </c>
      <c r="F6" s="16">
        <v>9478.4</v>
      </c>
      <c r="G6" s="16"/>
      <c r="H6" s="7">
        <v>-3.6535000000000002</v>
      </c>
      <c r="I6" s="5">
        <f>100*(H7-$H$6)/$H$5</f>
        <v>5.6375000000000064E-2</v>
      </c>
      <c r="J6" s="16">
        <v>9421.2000000000007</v>
      </c>
      <c r="K6" s="16"/>
      <c r="L6" s="7">
        <v>-3.7850000000000001</v>
      </c>
      <c r="M6" s="5">
        <f>100*(L7-$L$6)/$L$5</f>
        <v>2.2750000000000048E-2</v>
      </c>
      <c r="N6" s="16">
        <v>9423</v>
      </c>
      <c r="O6" s="16"/>
      <c r="P6" s="6">
        <f>IF(ISBLANK(D6),NA(),AVERAGE(E6,I6,M6))</f>
        <v>4.2583333333333341E-2</v>
      </c>
      <c r="Q6" s="6">
        <f>IF(ISBLANK(D6),NA(),_xlfn.STDEV.P(E6,I6,M6))</f>
        <v>1.4376751101073643E-2</v>
      </c>
      <c r="R6" s="24"/>
      <c r="S6" s="2"/>
      <c r="T6" s="2"/>
    </row>
    <row r="7" spans="1:20" ht="15" customHeight="1" x14ac:dyDescent="0.35">
      <c r="A7" s="52" t="s">
        <v>0</v>
      </c>
      <c r="B7" s="1">
        <v>1</v>
      </c>
      <c r="C7" s="4">
        <v>44589</v>
      </c>
      <c r="D7" s="7">
        <v>-4.093</v>
      </c>
      <c r="E7" s="3">
        <f>IF(ISBLANK(D7),NA(),100*(D7-$D$7)/$D$5)</f>
        <v>0</v>
      </c>
      <c r="F7" s="16">
        <v>9467.7999999999993</v>
      </c>
      <c r="G7" s="3">
        <f>IF(ISBLANK(F7),NA(),100*(F7-$F$7)/$F$7)</f>
        <v>0</v>
      </c>
      <c r="H7" s="7">
        <v>-3.4279999999999999</v>
      </c>
      <c r="I7" s="3">
        <f>IF(ISBLANK(H7),NA(),100*(H7-$H$7)/$H$5)</f>
        <v>0</v>
      </c>
      <c r="J7" s="16">
        <v>9409</v>
      </c>
      <c r="K7" s="3">
        <f>IF(ISBLANK(J7),NA(),100*(J7-$J$7)/$J$7)</f>
        <v>0</v>
      </c>
      <c r="L7" s="7">
        <v>-3.694</v>
      </c>
      <c r="M7" s="3">
        <f>100*(L7-$L$7)/$L$5</f>
        <v>0</v>
      </c>
      <c r="N7" s="16">
        <v>9411.1</v>
      </c>
      <c r="O7" s="3">
        <f>IF(ISBLANK(N7),NA(),100*(N7-$N$7)/$N$7)</f>
        <v>0</v>
      </c>
      <c r="P7" s="23">
        <f t="shared" ref="P7:P13" si="0">IF(ISBLANK(D7),NA(),AVERAGE(E7,I7,M7))</f>
        <v>0</v>
      </c>
      <c r="Q7" s="8">
        <f t="shared" ref="Q7:Q13" si="1">IF(ISBLANK(D7),NA(),_xlfn.STDEV.P(E7,I7,M7))</f>
        <v>0</v>
      </c>
      <c r="R7" s="8"/>
      <c r="S7" s="23">
        <f>AVERAGE(G7,K7,O7)</f>
        <v>0</v>
      </c>
      <c r="T7" s="9">
        <f>_xlfn.STDEV.P(G7,K7,O7)</f>
        <v>0</v>
      </c>
    </row>
    <row r="8" spans="1:20" x14ac:dyDescent="0.35">
      <c r="A8" s="52"/>
      <c r="B8" s="1">
        <f>IF(ISBLANK(C8),NA(),C8-C$7+1)</f>
        <v>7</v>
      </c>
      <c r="C8" s="4">
        <v>44595</v>
      </c>
      <c r="D8" s="7">
        <v>-4.2140000000000004</v>
      </c>
      <c r="E8" s="3">
        <f t="shared" ref="E8:E17" si="2">IF(ISBLANK(D8),NA(),100*(D8-$D$7)/$D$5)</f>
        <v>-3.025000000000011E-2</v>
      </c>
      <c r="F8" s="16">
        <v>9462.2000000000007</v>
      </c>
      <c r="G8" s="3">
        <f t="shared" ref="G8:G17" si="3">IF(ISBLANK(F8),NA(),100*(F8-$F$7)/$F$7)</f>
        <v>-5.9147848496995559E-2</v>
      </c>
      <c r="H8" s="7">
        <v>-3.5870000000000002</v>
      </c>
      <c r="I8" s="3">
        <f t="shared" ref="I8:I17" si="4">IF(ISBLANK(H8),NA(),100*(H8-$H$7)/$H$5)</f>
        <v>-3.9750000000000063E-2</v>
      </c>
      <c r="J8" s="16">
        <v>9400.6</v>
      </c>
      <c r="K8" s="3">
        <f t="shared" ref="K8:K17" si="5">IF(ISBLANK(J8),NA(),100*(J8-$J$7)/$J$7)</f>
        <v>-8.9276224891057882E-2</v>
      </c>
      <c r="L8" s="7">
        <v>-3.702</v>
      </c>
      <c r="M8" s="3">
        <f t="shared" ref="M8:M17" si="6">100*(L8-$L$7)/$L$5</f>
        <v>-2.0000000000000018E-3</v>
      </c>
      <c r="N8" s="16">
        <v>9407</v>
      </c>
      <c r="O8" s="3">
        <f t="shared" ref="O8:O17" si="7">IF(ISBLANK(N8),NA(),100*(N8-$N$7)/$N$7)</f>
        <v>-4.3565576818866698E-2</v>
      </c>
      <c r="P8" s="23">
        <f t="shared" si="0"/>
        <v>-2.4000000000000059E-2</v>
      </c>
      <c r="Q8" s="8">
        <f t="shared" si="1"/>
        <v>1.6032519036840959E-2</v>
      </c>
      <c r="R8" s="8"/>
      <c r="S8" s="23">
        <f t="shared" ref="S8:S14" si="8">AVERAGE(G8,K8,O8)</f>
        <v>-6.3996550068973382E-2</v>
      </c>
      <c r="T8" s="9">
        <f t="shared" ref="T8:T14" si="9">_xlfn.STDEV.P(G8,K8,O8)</f>
        <v>1.8973635515200284E-2</v>
      </c>
    </row>
    <row r="9" spans="1:20" x14ac:dyDescent="0.35">
      <c r="A9" s="52"/>
      <c r="B9" s="1">
        <f t="shared" ref="B9:B17" si="10">IF(ISBLANK(C9),NA(),C9-C$7+1)</f>
        <v>27</v>
      </c>
      <c r="C9" s="4">
        <v>44615</v>
      </c>
      <c r="D9" s="7">
        <v>-4.2610000000000001</v>
      </c>
      <c r="E9" s="3">
        <f t="shared" si="2"/>
        <v>-4.2000000000000037E-2</v>
      </c>
      <c r="F9" s="16">
        <v>9463.6</v>
      </c>
      <c r="G9" s="3">
        <f t="shared" si="3"/>
        <v>-4.4360886372746669E-2</v>
      </c>
      <c r="H9" s="7">
        <v>-3.6379999999999999</v>
      </c>
      <c r="I9" s="3">
        <f t="shared" si="4"/>
        <v>-5.2499999999999991E-2</v>
      </c>
      <c r="J9" s="16">
        <v>9398.6</v>
      </c>
      <c r="K9" s="3">
        <f t="shared" si="5"/>
        <v>-0.11053246891273925</v>
      </c>
      <c r="L9" s="7">
        <v>-3.7320000000000002</v>
      </c>
      <c r="M9" s="3">
        <f t="shared" si="6"/>
        <v>-9.5000000000000639E-3</v>
      </c>
      <c r="N9" s="16">
        <v>9409.2999999999993</v>
      </c>
      <c r="O9" s="3">
        <f t="shared" si="7"/>
        <v>-1.912635079853674E-2</v>
      </c>
      <c r="P9" s="23">
        <f t="shared" si="0"/>
        <v>-3.46666666666667E-2</v>
      </c>
      <c r="Q9" s="8">
        <f t="shared" si="1"/>
        <v>1.830452281693119E-2</v>
      </c>
      <c r="R9" s="8" t="s">
        <v>49</v>
      </c>
      <c r="S9" s="23">
        <f t="shared" si="8"/>
        <v>-5.8006568694674222E-2</v>
      </c>
      <c r="T9" s="9">
        <f t="shared" si="9"/>
        <v>3.8543681641311056E-2</v>
      </c>
    </row>
    <row r="10" spans="1:20" x14ac:dyDescent="0.35">
      <c r="A10" s="52"/>
      <c r="B10" s="1">
        <f t="shared" si="10"/>
        <v>55</v>
      </c>
      <c r="C10" s="4">
        <v>44643</v>
      </c>
      <c r="D10" s="7">
        <v>-4.2759999999999998</v>
      </c>
      <c r="E10" s="3">
        <f t="shared" si="2"/>
        <v>-4.5749999999999957E-2</v>
      </c>
      <c r="F10" s="16">
        <v>9468</v>
      </c>
      <c r="G10" s="3">
        <f t="shared" si="3"/>
        <v>2.1124231606152182E-3</v>
      </c>
      <c r="H10" s="7">
        <v>-3.6560000000000001</v>
      </c>
      <c r="I10" s="3">
        <f t="shared" si="4"/>
        <v>-5.7000000000000044E-2</v>
      </c>
      <c r="J10" s="16">
        <v>9399.5</v>
      </c>
      <c r="K10" s="3">
        <f t="shared" si="5"/>
        <v>-0.10096715910298651</v>
      </c>
      <c r="L10" s="7">
        <v>-3.78</v>
      </c>
      <c r="M10" s="3">
        <f t="shared" si="6"/>
        <v>-2.1499999999999964E-2</v>
      </c>
      <c r="N10" s="16">
        <v>9412.2999999999993</v>
      </c>
      <c r="O10" s="3">
        <f t="shared" si="7"/>
        <v>1.27509005323385E-2</v>
      </c>
      <c r="P10" s="23">
        <f t="shared" si="0"/>
        <v>-4.1416666666666657E-2</v>
      </c>
      <c r="Q10" s="8">
        <f t="shared" si="1"/>
        <v>1.4813188568149541E-2</v>
      </c>
      <c r="R10" s="8"/>
      <c r="S10" s="23">
        <f t="shared" si="8"/>
        <v>-2.870127847001093E-2</v>
      </c>
      <c r="T10" s="9">
        <f t="shared" si="9"/>
        <v>5.128393138818288E-2</v>
      </c>
    </row>
    <row r="11" spans="1:20" x14ac:dyDescent="0.35">
      <c r="A11" s="52"/>
      <c r="B11" s="1">
        <f t="shared" si="10"/>
        <v>82</v>
      </c>
      <c r="C11" s="4">
        <v>44670</v>
      </c>
      <c r="D11" s="7">
        <v>-4.25</v>
      </c>
      <c r="E11" s="3">
        <f t="shared" si="2"/>
        <v>-3.9250000000000007E-2</v>
      </c>
      <c r="F11" s="16">
        <v>9471.4</v>
      </c>
      <c r="G11" s="3">
        <f t="shared" si="3"/>
        <v>3.8023616890939436E-2</v>
      </c>
      <c r="H11" s="7">
        <v>-3.6589999999999998</v>
      </c>
      <c r="I11" s="3">
        <f t="shared" si="4"/>
        <v>-5.7749999999999968E-2</v>
      </c>
      <c r="J11" s="16">
        <v>9401.9</v>
      </c>
      <c r="K11" s="3">
        <f t="shared" si="5"/>
        <v>-7.5459666276972731E-2</v>
      </c>
      <c r="L11" s="7">
        <v>-3.78</v>
      </c>
      <c r="M11" s="3">
        <f t="shared" si="6"/>
        <v>-2.1499999999999964E-2</v>
      </c>
      <c r="N11" s="16">
        <v>9414.1</v>
      </c>
      <c r="O11" s="3">
        <f t="shared" si="7"/>
        <v>3.1877251330875239E-2</v>
      </c>
      <c r="P11" s="23">
        <f t="shared" si="0"/>
        <v>-3.949999999999998E-2</v>
      </c>
      <c r="Q11" s="8">
        <f t="shared" si="1"/>
        <v>1.4800056306199202E-2</v>
      </c>
      <c r="R11" s="8"/>
      <c r="S11" s="23">
        <f t="shared" si="8"/>
        <v>-1.8529326850526852E-3</v>
      </c>
      <c r="T11" s="9">
        <f t="shared" si="9"/>
        <v>5.210827109620509E-2</v>
      </c>
    </row>
    <row r="12" spans="1:20" x14ac:dyDescent="0.35">
      <c r="A12" s="52"/>
      <c r="B12" s="1">
        <f t="shared" si="10"/>
        <v>190</v>
      </c>
      <c r="C12" s="4">
        <v>44778</v>
      </c>
      <c r="D12" s="7">
        <v>-3.605</v>
      </c>
      <c r="E12" s="3">
        <f t="shared" si="2"/>
        <v>0.122</v>
      </c>
      <c r="F12" s="16">
        <v>9500</v>
      </c>
      <c r="G12" s="3">
        <f t="shared" si="3"/>
        <v>0.34010012885782048</v>
      </c>
      <c r="H12" s="7">
        <v>-3.1859999999999999</v>
      </c>
      <c r="I12" s="3">
        <f t="shared" si="4"/>
        <v>6.0499999999999998E-2</v>
      </c>
      <c r="J12" s="16">
        <v>9420</v>
      </c>
      <c r="K12" s="3">
        <f t="shared" si="5"/>
        <v>0.11690934211924753</v>
      </c>
      <c r="L12" s="7">
        <v>-3.262</v>
      </c>
      <c r="M12" s="3">
        <f t="shared" si="6"/>
        <v>0.10799999999999998</v>
      </c>
      <c r="N12" s="16">
        <v>9435</v>
      </c>
      <c r="O12" s="3">
        <f t="shared" si="7"/>
        <v>0.25395543560263556</v>
      </c>
      <c r="P12" s="23">
        <f t="shared" si="0"/>
        <v>9.6833333333333327E-2</v>
      </c>
      <c r="Q12" s="8">
        <f t="shared" si="1"/>
        <v>2.6319616680761569E-2</v>
      </c>
      <c r="R12" s="8"/>
      <c r="S12" s="23">
        <f t="shared" si="8"/>
        <v>0.23698830219323452</v>
      </c>
      <c r="T12" s="9">
        <f t="shared" si="9"/>
        <v>9.1903734176383714E-2</v>
      </c>
    </row>
    <row r="13" spans="1:20" x14ac:dyDescent="0.35">
      <c r="A13" s="52"/>
      <c r="B13" s="1">
        <f t="shared" si="10"/>
        <v>364</v>
      </c>
      <c r="C13" s="4">
        <v>44952</v>
      </c>
      <c r="D13" s="7">
        <v>-3.298</v>
      </c>
      <c r="E13" s="3">
        <f t="shared" si="2"/>
        <v>0.19875000000000001</v>
      </c>
      <c r="F13" s="16">
        <v>9545</v>
      </c>
      <c r="G13" s="3">
        <f t="shared" si="3"/>
        <v>0.81539533999451541</v>
      </c>
      <c r="H13" s="7">
        <v>-2.8719999999999999</v>
      </c>
      <c r="I13" s="3">
        <f t="shared" si="4"/>
        <v>0.13900000000000001</v>
      </c>
      <c r="J13" s="16">
        <v>9450</v>
      </c>
      <c r="K13" s="3">
        <f t="shared" si="5"/>
        <v>0.43575300244446807</v>
      </c>
      <c r="L13" s="7">
        <v>-2.778</v>
      </c>
      <c r="M13" s="3">
        <f t="shared" si="6"/>
        <v>0.22899999999999998</v>
      </c>
      <c r="N13" s="16">
        <v>9515</v>
      </c>
      <c r="O13" s="3">
        <f t="shared" si="7"/>
        <v>1.104015471092642</v>
      </c>
      <c r="P13" s="23">
        <f t="shared" si="0"/>
        <v>0.18891666666666665</v>
      </c>
      <c r="Q13" s="8">
        <f t="shared" si="1"/>
        <v>3.7394481173325826E-2</v>
      </c>
      <c r="R13" s="8"/>
      <c r="S13" s="23">
        <f t="shared" si="8"/>
        <v>0.78505460451054176</v>
      </c>
      <c r="T13" s="9">
        <f t="shared" si="9"/>
        <v>0.27365927954693281</v>
      </c>
    </row>
    <row r="14" spans="1:20" x14ac:dyDescent="0.35">
      <c r="A14" s="52"/>
      <c r="B14" s="1">
        <f t="shared" si="10"/>
        <v>455</v>
      </c>
      <c r="C14" s="4">
        <v>45043</v>
      </c>
      <c r="D14" s="7">
        <v>-3.3050000000000002</v>
      </c>
      <c r="E14" s="3">
        <f t="shared" si="2"/>
        <v>0.19699999999999995</v>
      </c>
      <c r="F14" s="16">
        <v>9535</v>
      </c>
      <c r="G14" s="3">
        <f t="shared" si="3"/>
        <v>0.70977418196413877</v>
      </c>
      <c r="H14" s="7">
        <v>-2.84</v>
      </c>
      <c r="I14" s="3">
        <f t="shared" si="4"/>
        <v>0.14700000000000002</v>
      </c>
      <c r="J14" s="16">
        <v>9445</v>
      </c>
      <c r="K14" s="3">
        <f t="shared" si="5"/>
        <v>0.38261239239026462</v>
      </c>
      <c r="L14" s="7">
        <v>-2.7360000000000002</v>
      </c>
      <c r="M14" s="3">
        <f t="shared" si="6"/>
        <v>0.23949999999999994</v>
      </c>
      <c r="N14" s="16">
        <v>9505</v>
      </c>
      <c r="O14" s="3">
        <f t="shared" si="7"/>
        <v>0.99775796665639116</v>
      </c>
      <c r="P14" s="23">
        <f t="shared" ref="P14" si="11">IF(ISBLANK(D14),NA(),AVERAGE(E14,I14,M14))</f>
        <v>0.19449999999999998</v>
      </c>
      <c r="Q14" s="8">
        <f t="shared" ref="Q14" si="12">IF(ISBLANK(D14),NA(),_xlfn.STDEV.P(E14,I14,M14))</f>
        <v>3.7804320740712438E-2</v>
      </c>
      <c r="R14" s="8"/>
      <c r="S14" s="23">
        <f t="shared" si="8"/>
        <v>0.69671484700359831</v>
      </c>
      <c r="T14" s="9">
        <f t="shared" si="9"/>
        <v>0.25130184912041426</v>
      </c>
    </row>
    <row r="15" spans="1:20" x14ac:dyDescent="0.35">
      <c r="A15" s="52"/>
      <c r="B15" s="1">
        <f t="shared" si="10"/>
        <v>553</v>
      </c>
      <c r="C15" s="4">
        <v>45141</v>
      </c>
      <c r="D15" s="7">
        <v>-3.266</v>
      </c>
      <c r="E15" s="3">
        <f t="shared" si="2"/>
        <v>0.20674999999999996</v>
      </c>
      <c r="F15" s="16">
        <v>9555</v>
      </c>
      <c r="G15" s="3">
        <f t="shared" si="3"/>
        <v>0.92101649802489205</v>
      </c>
      <c r="H15" s="7">
        <v>-2.8039999999999998</v>
      </c>
      <c r="I15" s="3">
        <f t="shared" si="4"/>
        <v>0.15600000000000003</v>
      </c>
      <c r="J15" s="16">
        <v>9465</v>
      </c>
      <c r="K15" s="3">
        <f t="shared" si="5"/>
        <v>0.59517483260707837</v>
      </c>
      <c r="L15" s="7">
        <v>-2.7040000000000002</v>
      </c>
      <c r="M15" s="3">
        <f t="shared" si="6"/>
        <v>0.24749999999999994</v>
      </c>
      <c r="N15" s="16">
        <v>9530</v>
      </c>
      <c r="O15" s="3">
        <f t="shared" si="7"/>
        <v>1.2634017277470182</v>
      </c>
      <c r="P15" s="23">
        <f t="shared" ref="P15:P17" si="13">IF(ISBLANK(D15),NA(),AVERAGE(E15,I15,M15))</f>
        <v>0.20341666666666666</v>
      </c>
      <c r="Q15" s="8">
        <f t="shared" ref="Q15:Q17" si="14">IF(ISBLANK(D15),NA(),_xlfn.STDEV.P(E15,I15,M15))</f>
        <v>3.7429006873754424E-2</v>
      </c>
      <c r="R15" s="8"/>
      <c r="S15" s="23">
        <f t="shared" ref="S15:S17" si="15">AVERAGE(G15,K15,O15)</f>
        <v>0.92653101945966287</v>
      </c>
      <c r="T15" s="9">
        <f t="shared" ref="T15:T17" si="16">_xlfn.STDEV.P(G15,K15,O15)</f>
        <v>0.27283035425832181</v>
      </c>
    </row>
    <row r="16" spans="1:20" x14ac:dyDescent="0.35">
      <c r="A16" s="52"/>
      <c r="B16" s="1">
        <f>IF(ISBLANK(C16),NA(),C16-C$7+1)</f>
        <v>721</v>
      </c>
      <c r="C16" s="4">
        <v>45309</v>
      </c>
      <c r="D16" s="7">
        <v>-3.2639999999999998</v>
      </c>
      <c r="E16" s="3">
        <f t="shared" si="2"/>
        <v>0.20725000000000005</v>
      </c>
      <c r="F16" s="16">
        <v>9565</v>
      </c>
      <c r="G16" s="3">
        <f t="shared" si="3"/>
        <v>1.0266376560552688</v>
      </c>
      <c r="H16" s="7">
        <v>-2.8159999999999998</v>
      </c>
      <c r="I16" s="3">
        <f t="shared" si="4"/>
        <v>0.15300000000000002</v>
      </c>
      <c r="J16" s="16">
        <v>9450</v>
      </c>
      <c r="K16" s="3">
        <f t="shared" si="5"/>
        <v>0.43575300244446807</v>
      </c>
      <c r="L16" s="7">
        <v>-2.7080000000000002</v>
      </c>
      <c r="M16" s="3">
        <f t="shared" si="6"/>
        <v>0.24649999999999994</v>
      </c>
      <c r="N16" s="16">
        <v>9510</v>
      </c>
      <c r="O16" s="3">
        <f t="shared" si="7"/>
        <v>1.0508867188745166</v>
      </c>
      <c r="P16" s="23">
        <f t="shared" si="13"/>
        <v>0.20225000000000001</v>
      </c>
      <c r="Q16" s="8">
        <f t="shared" si="14"/>
        <v>3.8334601428300523E-2</v>
      </c>
      <c r="R16" s="8"/>
      <c r="S16" s="23">
        <f t="shared" si="15"/>
        <v>0.83775912579141776</v>
      </c>
      <c r="T16" s="9">
        <f t="shared" si="16"/>
        <v>0.28443358529802731</v>
      </c>
    </row>
    <row r="17" spans="1:24" x14ac:dyDescent="0.35">
      <c r="A17" s="52"/>
      <c r="B17" s="1" t="e">
        <f t="shared" si="10"/>
        <v>#N/A</v>
      </c>
      <c r="C17" s="4"/>
      <c r="D17" s="7"/>
      <c r="E17" s="3" t="e">
        <f t="shared" si="2"/>
        <v>#N/A</v>
      </c>
      <c r="F17" s="16"/>
      <c r="G17" s="3" t="e">
        <f t="shared" si="3"/>
        <v>#N/A</v>
      </c>
      <c r="H17" s="7"/>
      <c r="I17" s="3" t="e">
        <f t="shared" si="4"/>
        <v>#N/A</v>
      </c>
      <c r="J17" s="16"/>
      <c r="K17" s="3" t="e">
        <f t="shared" si="5"/>
        <v>#N/A</v>
      </c>
      <c r="L17" s="7"/>
      <c r="M17" s="3">
        <f t="shared" si="6"/>
        <v>0.92349999999999999</v>
      </c>
      <c r="N17" s="16"/>
      <c r="O17" s="3" t="e">
        <f t="shared" si="7"/>
        <v>#N/A</v>
      </c>
      <c r="P17" s="23" t="e">
        <f t="shared" si="13"/>
        <v>#N/A</v>
      </c>
      <c r="Q17" s="8" t="e">
        <f t="shared" si="14"/>
        <v>#N/A</v>
      </c>
      <c r="R17" s="8"/>
      <c r="S17" s="23" t="e">
        <f t="shared" si="15"/>
        <v>#N/A</v>
      </c>
      <c r="T17" s="9" t="e">
        <f t="shared" si="16"/>
        <v>#N/A</v>
      </c>
    </row>
    <row r="19" spans="1:24" x14ac:dyDescent="0.35">
      <c r="B19" s="21"/>
      <c r="S19"/>
      <c r="T19"/>
      <c r="U19"/>
    </row>
    <row r="20" spans="1:24" x14ac:dyDescent="0.35">
      <c r="S20"/>
      <c r="T20"/>
      <c r="U20"/>
    </row>
    <row r="21" spans="1:24" x14ac:dyDescent="0.35">
      <c r="C21" s="21"/>
    </row>
    <row r="22" spans="1:24" x14ac:dyDescent="0.35">
      <c r="C22" s="40" t="s">
        <v>10</v>
      </c>
      <c r="D22" s="13" t="s">
        <v>9</v>
      </c>
      <c r="E22" s="13" t="s">
        <v>11</v>
      </c>
      <c r="F22" s="48" t="s">
        <v>14</v>
      </c>
      <c r="G22" s="50"/>
      <c r="H22" s="48" t="s">
        <v>55</v>
      </c>
      <c r="I22" s="49"/>
      <c r="J22" s="40" t="s">
        <v>63</v>
      </c>
      <c r="K22" s="40"/>
      <c r="L22" s="40"/>
      <c r="M22" s="40"/>
      <c r="N22" s="40"/>
      <c r="O22" s="40"/>
      <c r="P22" s="40"/>
      <c r="Q22" s="40"/>
      <c r="R22" s="40"/>
      <c r="S22" s="40"/>
      <c r="T22" s="40"/>
      <c r="U22"/>
      <c r="V22"/>
      <c r="W22" s="40" t="s">
        <v>99</v>
      </c>
      <c r="X22" s="40"/>
    </row>
    <row r="23" spans="1:24" ht="16.5" x14ac:dyDescent="0.35">
      <c r="C23" s="40"/>
      <c r="D23" s="13"/>
      <c r="E23" s="13"/>
      <c r="F23" s="14" t="s">
        <v>12</v>
      </c>
      <c r="G23" s="14" t="s">
        <v>13</v>
      </c>
      <c r="H23" s="14" t="s">
        <v>52</v>
      </c>
      <c r="I23" s="14" t="s">
        <v>54</v>
      </c>
      <c r="J23" s="14" t="s">
        <v>64</v>
      </c>
      <c r="K23" s="14" t="s">
        <v>66</v>
      </c>
      <c r="L23" s="14" t="s">
        <v>68</v>
      </c>
      <c r="M23" s="14" t="s">
        <v>70</v>
      </c>
      <c r="N23" s="14" t="s">
        <v>72</v>
      </c>
      <c r="O23" s="14" t="s">
        <v>89</v>
      </c>
      <c r="P23" s="14" t="s">
        <v>90</v>
      </c>
      <c r="Q23" s="14" t="s">
        <v>92</v>
      </c>
      <c r="R23" s="14" t="s">
        <v>74</v>
      </c>
      <c r="S23" s="14" t="s">
        <v>76</v>
      </c>
      <c r="T23" s="14" t="s">
        <v>78</v>
      </c>
      <c r="U23"/>
      <c r="V23"/>
      <c r="W23" s="14" t="s">
        <v>74</v>
      </c>
      <c r="X23" s="14" t="s">
        <v>101</v>
      </c>
    </row>
    <row r="24" spans="1:24" x14ac:dyDescent="0.35">
      <c r="B24" s="1">
        <f>IF(ISBLANK(D24),NA(),C24-$C$24)</f>
        <v>0</v>
      </c>
      <c r="C24" s="4">
        <f>C7-1</f>
        <v>44588</v>
      </c>
      <c r="D24" s="16">
        <v>25.9</v>
      </c>
      <c r="E24" s="16">
        <f>D24/0.0129</f>
        <v>2007.751937984496</v>
      </c>
      <c r="F24" s="1">
        <v>0</v>
      </c>
      <c r="G24" s="1">
        <v>0</v>
      </c>
      <c r="H24" s="16">
        <f>IF(ISBLANK(F24),NA(),F24*62/(23*2)*$E24/1000)</f>
        <v>0</v>
      </c>
      <c r="I24" s="16">
        <f t="shared" ref="I24:I33" si="17">IF(ISBLANK(G24),NA(),G24*62/(23*2)*$E24/1000)</f>
        <v>0</v>
      </c>
      <c r="J24" s="16">
        <f>100*((H24/1000)/INDEX(Alkalis!$K$3:$K$12,MATCH($B$1,Alkalis!$A$3:$A$12,0)))</f>
        <v>0</v>
      </c>
      <c r="K24" s="16">
        <f>100*((I24/1000)/INDEX(Alkalis!$K$3:$K$12,MATCH($B$1,Alkalis!$A$3:$A$12,0)))</f>
        <v>0</v>
      </c>
      <c r="L24" s="7">
        <f>100*(H24/1000)/(3*440*0.1*0.1*0.4*1000)</f>
        <v>0</v>
      </c>
      <c r="M24" s="7">
        <f>100*(I24/1000)/(3*440*0.1*0.1*0.4*1000)</f>
        <v>0</v>
      </c>
      <c r="N24" s="23">
        <f t="shared" ref="N24:N30" si="18">L24+0.658*M24</f>
        <v>0</v>
      </c>
      <c r="O24" s="9">
        <f>100*L24/INDEX(Alkalis!G$3:G$12,MATCH($B$1,Alkalis!$A$3:$A$12,0))</f>
        <v>0</v>
      </c>
      <c r="P24" s="9">
        <f>100*M24/INDEX(Alkalis!H$3:H$12,MATCH($B$1,Alkalis!$A$3:$A$12,0))</f>
        <v>0</v>
      </c>
      <c r="Q24" s="23">
        <f>100*N24/INDEX(Alkalis!I$3:I$12,MATCH($B$1,Alkalis!$A$3:$A$12,0))</f>
        <v>0</v>
      </c>
      <c r="R24" s="9">
        <f t="shared" ref="R24:R30" si="19">440*L24/100</f>
        <v>0</v>
      </c>
      <c r="S24" s="9">
        <f t="shared" ref="S24:S30" si="20">440*M24/100</f>
        <v>0</v>
      </c>
      <c r="T24" s="23">
        <f t="shared" ref="T24:T30" si="21">440*N24/100</f>
        <v>0</v>
      </c>
      <c r="U24"/>
      <c r="V24"/>
      <c r="W24" s="38">
        <f>U24-8</f>
        <v>-8</v>
      </c>
    </row>
    <row r="25" spans="1:24" x14ac:dyDescent="0.35">
      <c r="B25" s="1">
        <f t="shared" ref="B25:B33" si="22">IF(ISBLANK(D25),NA(),C25-$C$24)</f>
        <v>27</v>
      </c>
      <c r="C25" s="4">
        <f t="shared" ref="C25:C33" si="23">C9</f>
        <v>44615</v>
      </c>
      <c r="D25" s="16">
        <v>28.3</v>
      </c>
      <c r="E25" s="16">
        <f>D25/0.0129</f>
        <v>2193.7984496124031</v>
      </c>
      <c r="F25" s="1">
        <v>8.560097700811852</v>
      </c>
      <c r="G25" s="1">
        <v>3.3080258791690134</v>
      </c>
      <c r="H25" s="16">
        <f t="shared" ref="H25:H33" si="24">IF(ISBLANK(F25),NA(),F25*62/(23*2)*$E25/1000)</f>
        <v>25.311000043553214</v>
      </c>
      <c r="I25" s="16">
        <f t="shared" si="17"/>
        <v>9.7813653649982335</v>
      </c>
      <c r="J25" s="16">
        <f>100*((H25/1000)/INDEX(Alkalis!$K$3:$K$12,MATCH($B$1,Alkalis!$A$3:$A$12,0)))</f>
        <v>9.6163490636884917E-3</v>
      </c>
      <c r="K25" s="16">
        <f>100*((I25/1000)/INDEX(Alkalis!$K$3:$K$12,MATCH($B$1,Alkalis!$A$3:$A$12,0)))</f>
        <v>3.716211272073125E-3</v>
      </c>
      <c r="L25" s="7">
        <f t="shared" ref="L25:L33" si="25">100*(H25/1000)/(3*440*0.1*0.1*0.4*1000)</f>
        <v>4.793750008248714E-4</v>
      </c>
      <c r="M25" s="7">
        <f t="shared" ref="M25:M33" si="26">100*(I25/1000)/(3*440*0.1*0.1*0.4*1000)</f>
        <v>1.8525313191284531E-4</v>
      </c>
      <c r="N25" s="23">
        <f t="shared" si="18"/>
        <v>6.0127156162352363E-4</v>
      </c>
      <c r="O25" s="9">
        <f>100*L25/INDEX(Alkalis!G$3:G$12,MATCH($B$1,Alkalis!$A$3:$A$12,0))</f>
        <v>9.6163490636884934E-3</v>
      </c>
      <c r="P25" s="9">
        <f>100*M25/INDEX(Alkalis!H$3:H$12,MATCH($B$1,Alkalis!$A$3:$A$12,0))</f>
        <v>5.7801289208376072E-2</v>
      </c>
      <c r="Q25" s="23">
        <f>100*N25/INDEX(Alkalis!I$3:I$12,MATCH($B$1,Alkalis!$A$3:$A$12,0))</f>
        <v>1.1572063252766246E-2</v>
      </c>
      <c r="R25" s="9">
        <f t="shared" si="19"/>
        <v>2.1092500036294344E-3</v>
      </c>
      <c r="S25" s="9">
        <f t="shared" si="20"/>
        <v>8.151137804165194E-4</v>
      </c>
      <c r="T25" s="23">
        <f t="shared" si="21"/>
        <v>2.6455948711435039E-3</v>
      </c>
      <c r="U25"/>
      <c r="V25"/>
      <c r="W25" s="38">
        <f t="shared" ref="W25:W33" si="27">U25-8</f>
        <v>-8</v>
      </c>
    </row>
    <row r="26" spans="1:24" x14ac:dyDescent="0.35">
      <c r="B26" s="1">
        <f t="shared" si="22"/>
        <v>55</v>
      </c>
      <c r="C26" s="4">
        <f t="shared" si="23"/>
        <v>44643</v>
      </c>
      <c r="D26" s="16">
        <v>23.8</v>
      </c>
      <c r="E26" s="16">
        <f t="shared" ref="E26:E33" si="28">D26/0.0129</f>
        <v>1844.9612403100775</v>
      </c>
      <c r="F26" s="1">
        <v>12.338254419818837</v>
      </c>
      <c r="G26" s="1">
        <v>3.6812436050918822</v>
      </c>
      <c r="H26" s="16">
        <f t="shared" si="24"/>
        <v>30.681375500311216</v>
      </c>
      <c r="I26" s="16">
        <f t="shared" si="17"/>
        <v>9.154100208415203</v>
      </c>
      <c r="J26" s="16">
        <f>100*((H26/1000)/INDEX(Alkalis!$K$3:$K$12,MATCH($B$1,Alkalis!$A$3:$A$12,0)))</f>
        <v>1.1656703253818731E-2</v>
      </c>
      <c r="K26" s="16">
        <f>100*((I26/1000)/INDEX(Alkalis!$K$3:$K$12,MATCH($B$1,Alkalis!$A$3:$A$12,0)))</f>
        <v>3.4778958878207348E-3</v>
      </c>
      <c r="L26" s="7">
        <f t="shared" si="25"/>
        <v>5.8108665720286383E-4</v>
      </c>
      <c r="M26" s="7">
        <f t="shared" si="26"/>
        <v>1.7337311000786368E-4</v>
      </c>
      <c r="N26" s="23">
        <f t="shared" si="18"/>
        <v>6.9516616358803818E-4</v>
      </c>
      <c r="O26" s="9">
        <f>100*L26/INDEX(Alkalis!G$3:G$12,MATCH($B$1,Alkalis!$A$3:$A$12,0))</f>
        <v>1.1656703253818733E-2</v>
      </c>
      <c r="P26" s="9">
        <f>100*M26/INDEX(Alkalis!H$3:H$12,MATCH($B$1,Alkalis!$A$3:$A$12,0))</f>
        <v>5.4094574105417688E-2</v>
      </c>
      <c r="Q26" s="23">
        <f>100*N26/INDEX(Alkalis!I$3:I$12,MATCH($B$1,Alkalis!$A$3:$A$12,0))</f>
        <v>1.3379157322029748E-2</v>
      </c>
      <c r="R26" s="9">
        <f t="shared" si="19"/>
        <v>2.5567812916926008E-3</v>
      </c>
      <c r="S26" s="9">
        <f t="shared" si="20"/>
        <v>7.6284168403460012E-4</v>
      </c>
      <c r="T26" s="23">
        <f t="shared" si="21"/>
        <v>3.0587311197873678E-3</v>
      </c>
      <c r="U26"/>
      <c r="V26"/>
      <c r="W26" s="38">
        <f t="shared" si="27"/>
        <v>-8</v>
      </c>
    </row>
    <row r="27" spans="1:24" x14ac:dyDescent="0.35">
      <c r="B27" s="1">
        <f t="shared" si="22"/>
        <v>82</v>
      </c>
      <c r="C27" s="4">
        <f t="shared" si="23"/>
        <v>44670</v>
      </c>
      <c r="D27" s="16">
        <v>26.1</v>
      </c>
      <c r="E27" s="16">
        <f t="shared" si="28"/>
        <v>2023.2558139534885</v>
      </c>
      <c r="F27" s="1">
        <v>26.069157918287242</v>
      </c>
      <c r="G27" s="1">
        <v>6.1737964649509829</v>
      </c>
      <c r="H27" s="16">
        <f t="shared" si="24"/>
        <v>71.090514565844984</v>
      </c>
      <c r="I27" s="16">
        <f t="shared" si="17"/>
        <v>16.835924232530637</v>
      </c>
      <c r="J27" s="16">
        <f>100*((H27/1000)/INDEX(Alkalis!$K$3:$K$12,MATCH($B$1,Alkalis!$A$3:$A$12,0)))</f>
        <v>2.7009252973254981E-2</v>
      </c>
      <c r="K27" s="16">
        <f>100*((I27/1000)/INDEX(Alkalis!$K$3:$K$12,MATCH($B$1,Alkalis!$A$3:$A$12,0)))</f>
        <v>6.3964333274560917E-3</v>
      </c>
      <c r="L27" s="7">
        <f t="shared" si="25"/>
        <v>1.3464112607167609E-3</v>
      </c>
      <c r="M27" s="7">
        <f t="shared" si="26"/>
        <v>3.1886220137368622E-4</v>
      </c>
      <c r="N27" s="23">
        <f t="shared" si="18"/>
        <v>1.5562225892206466E-3</v>
      </c>
      <c r="O27" s="9">
        <f>100*L27/INDEX(Alkalis!G$3:G$12,MATCH($B$1,Alkalis!$A$3:$A$12,0))</f>
        <v>2.7009252973254981E-2</v>
      </c>
      <c r="P27" s="9">
        <f>100*M27/INDEX(Alkalis!H$3:H$12,MATCH($B$1,Alkalis!$A$3:$A$12,0))</f>
        <v>9.9488986388045625E-2</v>
      </c>
      <c r="Q27" s="23">
        <f>100*N27/INDEX(Alkalis!I$3:I$12,MATCH($B$1,Alkalis!$A$3:$A$12,0))</f>
        <v>2.9951036082961867E-2</v>
      </c>
      <c r="R27" s="9">
        <f t="shared" si="19"/>
        <v>5.9242095471537482E-3</v>
      </c>
      <c r="S27" s="9">
        <f t="shared" si="20"/>
        <v>1.4029936860442194E-3</v>
      </c>
      <c r="T27" s="23">
        <f t="shared" si="21"/>
        <v>6.8473793925708445E-3</v>
      </c>
      <c r="U27"/>
      <c r="V27"/>
      <c r="W27" s="38">
        <f t="shared" si="27"/>
        <v>-8</v>
      </c>
    </row>
    <row r="28" spans="1:24" x14ac:dyDescent="0.35">
      <c r="B28" s="1">
        <f t="shared" si="22"/>
        <v>190</v>
      </c>
      <c r="C28" s="4">
        <f t="shared" si="23"/>
        <v>44778</v>
      </c>
      <c r="D28" s="16">
        <v>25</v>
      </c>
      <c r="E28" s="16">
        <f t="shared" si="28"/>
        <v>1937.984496124031</v>
      </c>
      <c r="F28" s="1">
        <v>103.9513686101829</v>
      </c>
      <c r="G28" s="1">
        <v>17.843511242670633</v>
      </c>
      <c r="H28" s="16">
        <f t="shared" si="24"/>
        <v>271.52784183650743</v>
      </c>
      <c r="I28" s="16">
        <f t="shared" si="17"/>
        <v>46.608430108088108</v>
      </c>
      <c r="J28" s="16">
        <f>100*((H28/1000)/INDEX(Alkalis!$K$3:$K$12,MATCH($B$1,Alkalis!$A$3:$A$12,0)))</f>
        <v>0.10316093805526708</v>
      </c>
      <c r="K28" s="16">
        <f>100*((I28/1000)/INDEX(Alkalis!$K$3:$K$12,MATCH($B$1,Alkalis!$A$3:$A$12,0)))</f>
        <v>1.7707831869885449E-2</v>
      </c>
      <c r="L28" s="7">
        <f t="shared" si="25"/>
        <v>5.1425727620550638E-3</v>
      </c>
      <c r="M28" s="7">
        <f t="shared" si="26"/>
        <v>8.8273541871378971E-4</v>
      </c>
      <c r="N28" s="23">
        <f t="shared" si="18"/>
        <v>5.723412667568737E-3</v>
      </c>
      <c r="O28" s="9">
        <f>100*L28/INDEX(Alkalis!G$3:G$12,MATCH($B$1,Alkalis!$A$3:$A$12,0))</f>
        <v>0.10316093805526708</v>
      </c>
      <c r="P28" s="9">
        <f>100*M28/INDEX(Alkalis!H$3:H$12,MATCH($B$1,Alkalis!$A$3:$A$12,0))</f>
        <v>0.27542446761740708</v>
      </c>
      <c r="Q28" s="23">
        <f>100*N28/INDEX(Alkalis!I$3:I$12,MATCH($B$1,Alkalis!$A$3:$A$12,0))</f>
        <v>0.11015271241492527</v>
      </c>
      <c r="R28" s="9">
        <f t="shared" si="19"/>
        <v>2.262732015304228E-2</v>
      </c>
      <c r="S28" s="9">
        <f t="shared" si="20"/>
        <v>3.8840358423406747E-3</v>
      </c>
      <c r="T28" s="23">
        <f t="shared" si="21"/>
        <v>2.5183015737302444E-2</v>
      </c>
      <c r="U28"/>
      <c r="V28"/>
      <c r="W28" s="38">
        <f t="shared" si="27"/>
        <v>-8</v>
      </c>
    </row>
    <row r="29" spans="1:24" x14ac:dyDescent="0.35">
      <c r="B29" s="1">
        <f t="shared" si="22"/>
        <v>364</v>
      </c>
      <c r="C29" s="4">
        <f t="shared" si="23"/>
        <v>44952</v>
      </c>
      <c r="D29" s="16">
        <v>21</v>
      </c>
      <c r="E29" s="16">
        <f t="shared" si="28"/>
        <v>1627.9069767441861</v>
      </c>
      <c r="F29" s="1">
        <v>517.62769655705699</v>
      </c>
      <c r="G29" s="1">
        <v>75.213364083567242</v>
      </c>
      <c r="H29" s="16">
        <f t="shared" si="24"/>
        <v>1135.7452998269096</v>
      </c>
      <c r="I29" s="16">
        <f t="shared" si="17"/>
        <v>165.02831148770568</v>
      </c>
      <c r="J29" s="16">
        <f>100*((H29/1000)/INDEX(Alkalis!$K$3:$K$12,MATCH($B$1,Alkalis!$A$3:$A$12,0)))</f>
        <v>0.43150105613313772</v>
      </c>
      <c r="K29" s="16">
        <f>100*((I29/1000)/INDEX(Alkalis!$K$3:$K$12,MATCH($B$1,Alkalis!$A$3:$A$12,0)))</f>
        <v>6.2698820509903067E-2</v>
      </c>
      <c r="L29" s="7">
        <f t="shared" si="25"/>
        <v>2.1510327648236918E-2</v>
      </c>
      <c r="M29" s="7">
        <f t="shared" si="26"/>
        <v>3.1255362024186677E-3</v>
      </c>
      <c r="N29" s="23">
        <f t="shared" si="18"/>
        <v>2.3566930469428402E-2</v>
      </c>
      <c r="O29" s="9">
        <f>100*L29/INDEX(Alkalis!G$3:G$12,MATCH($B$1,Alkalis!$A$3:$A$12,0))</f>
        <v>0.43150105613313772</v>
      </c>
      <c r="P29" s="9">
        <f>100*M29/INDEX(Alkalis!H$3:H$12,MATCH($B$1,Alkalis!$A$3:$A$12,0))</f>
        <v>0.97520630340676062</v>
      </c>
      <c r="Q29" s="23">
        <f>100*N29/INDEX(Alkalis!I$3:I$12,MATCH($B$1,Alkalis!$A$3:$A$12,0))</f>
        <v>0.45356878234751358</v>
      </c>
      <c r="R29" s="9">
        <f t="shared" si="19"/>
        <v>9.4645441652242437E-2</v>
      </c>
      <c r="S29" s="9">
        <f t="shared" si="20"/>
        <v>1.3752359290642138E-2</v>
      </c>
      <c r="T29" s="23">
        <f t="shared" si="21"/>
        <v>0.10369449406548498</v>
      </c>
      <c r="U29"/>
      <c r="V29"/>
      <c r="W29" s="38">
        <f t="shared" si="27"/>
        <v>-8</v>
      </c>
    </row>
    <row r="30" spans="1:24" x14ac:dyDescent="0.35">
      <c r="B30" s="1">
        <f t="shared" si="22"/>
        <v>455</v>
      </c>
      <c r="C30" s="4">
        <f t="shared" si="23"/>
        <v>45043</v>
      </c>
      <c r="D30" s="16">
        <v>27.1</v>
      </c>
      <c r="E30" s="16">
        <f t="shared" si="28"/>
        <v>2100.7751937984499</v>
      </c>
      <c r="F30" s="1">
        <f>10*42.8524040663765</f>
        <v>428.52404066376499</v>
      </c>
      <c r="G30" s="1">
        <f>10*5.43311820619815</f>
        <v>54.331182061981494</v>
      </c>
      <c r="H30" s="16">
        <f t="shared" si="24"/>
        <v>1213.3570831197469</v>
      </c>
      <c r="I30" s="16">
        <f t="shared" si="17"/>
        <v>153.83763414314345</v>
      </c>
      <c r="J30" s="16">
        <f>100*((H30/1000)/INDEX(Alkalis!$K$3:$K$12,MATCH($B$1,Alkalis!$A$3:$A$12,0)))</f>
        <v>0.46098791948563356</v>
      </c>
      <c r="K30" s="16">
        <f>100*((I30/1000)/INDEX(Alkalis!$K$3:$K$12,MATCH($B$1,Alkalis!$A$3:$A$12,0)))</f>
        <v>5.8447172632725218E-2</v>
      </c>
      <c r="L30" s="7">
        <f t="shared" si="25"/>
        <v>2.2980247786358838E-2</v>
      </c>
      <c r="M30" s="7">
        <f t="shared" si="26"/>
        <v>2.9135915557413528E-3</v>
      </c>
      <c r="N30" s="23">
        <f t="shared" si="18"/>
        <v>2.4897391030036648E-2</v>
      </c>
      <c r="O30" s="9">
        <f>100*L30/INDEX(Alkalis!G$3:G$12,MATCH($B$1,Alkalis!$A$3:$A$12,0))</f>
        <v>0.46098791948563361</v>
      </c>
      <c r="P30" s="9">
        <f>100*M30/INDEX(Alkalis!H$3:H$12,MATCH($B$1,Alkalis!$A$3:$A$12,0))</f>
        <v>0.90907692846844079</v>
      </c>
      <c r="Q30" s="23">
        <f>100*N30/INDEX(Alkalis!I$3:I$12,MATCH($B$1,Alkalis!$A$3:$A$12,0))</f>
        <v>0.47917480589051553</v>
      </c>
      <c r="R30" s="9">
        <f t="shared" si="19"/>
        <v>0.10111309025997889</v>
      </c>
      <c r="S30" s="9">
        <f t="shared" si="20"/>
        <v>1.2819802845261952E-2</v>
      </c>
      <c r="T30" s="23">
        <f t="shared" si="21"/>
        <v>0.10954852053216126</v>
      </c>
      <c r="U30"/>
      <c r="V30"/>
      <c r="W30" s="38">
        <f t="shared" si="27"/>
        <v>-8</v>
      </c>
    </row>
    <row r="31" spans="1:24" x14ac:dyDescent="0.35">
      <c r="B31" s="1">
        <f t="shared" si="22"/>
        <v>553</v>
      </c>
      <c r="C31" s="4">
        <f t="shared" si="23"/>
        <v>45141</v>
      </c>
      <c r="D31" s="16">
        <v>22</v>
      </c>
      <c r="E31" s="16">
        <f t="shared" si="28"/>
        <v>1705.4263565891472</v>
      </c>
      <c r="F31" s="1">
        <f>10*55.7316353825807</f>
        <v>557.31635382580703</v>
      </c>
      <c r="G31" s="1">
        <f>10*6.28449839955683</f>
        <v>62.844983995568306</v>
      </c>
      <c r="H31" s="16">
        <f>IF(ISBLANK(F31),NA(),F31*62/(23*2)*$E31/1000)</f>
        <v>1281.0574766066745</v>
      </c>
      <c r="I31" s="16">
        <f>IF(ISBLANK(G31),NA(),G31*62/(23*2)*$E31/1000)</f>
        <v>144.45661976736631</v>
      </c>
      <c r="J31" s="16">
        <f>100*((H31/1000)/INDEX(Alkalis!$K$3:$K$12,MATCH($B$1,Alkalis!$A$3:$A$12,0)))</f>
        <v>0.48670917168424749</v>
      </c>
      <c r="K31" s="16">
        <f>100*((I31/1000)/INDEX(Alkalis!$K$3:$K$12,MATCH($B$1,Alkalis!$A$3:$A$12,0)))</f>
        <v>5.4883065775875449E-2</v>
      </c>
      <c r="L31" s="7">
        <f t="shared" si="25"/>
        <v>2.4262452208459739E-2</v>
      </c>
      <c r="M31" s="7">
        <f t="shared" si="26"/>
        <v>2.7359208289273922E-3</v>
      </c>
      <c r="N31" s="23">
        <f>L31+0.658*M31</f>
        <v>2.6062688113893964E-2</v>
      </c>
      <c r="O31" s="9">
        <f>100*L31/INDEX(Alkalis!G$3:G$12,MATCH($B$1,Alkalis!$A$3:$A$12,0))</f>
        <v>0.48670917168424754</v>
      </c>
      <c r="P31" s="9">
        <f>100*M31/INDEX(Alkalis!H$3:H$12,MATCH($B$1,Alkalis!$A$3:$A$12,0))</f>
        <v>0.85364144428311772</v>
      </c>
      <c r="Q31" s="23">
        <f>100*N31/INDEX(Alkalis!I$3:I$12,MATCH($B$1,Alkalis!$A$3:$A$12,0))</f>
        <v>0.50160209569322911</v>
      </c>
      <c r="R31" s="9">
        <f t="shared" ref="R31:R33" si="29">440*L31/100</f>
        <v>0.10675478971722285</v>
      </c>
      <c r="S31" s="9">
        <f t="shared" ref="S31:S33" si="30">440*M31/100</f>
        <v>1.2038051647280525E-2</v>
      </c>
      <c r="T31" s="23">
        <f>440*N31/100</f>
        <v>0.11467582770113344</v>
      </c>
      <c r="U31"/>
      <c r="V31"/>
      <c r="W31" s="38">
        <f t="shared" si="27"/>
        <v>-8</v>
      </c>
    </row>
    <row r="32" spans="1:24" x14ac:dyDescent="0.35">
      <c r="B32" s="1">
        <f t="shared" si="22"/>
        <v>721</v>
      </c>
      <c r="C32" s="4">
        <f t="shared" si="23"/>
        <v>45309</v>
      </c>
      <c r="D32" s="16">
        <v>20.9</v>
      </c>
      <c r="E32" s="16">
        <f t="shared" si="28"/>
        <v>1620.1550387596899</v>
      </c>
      <c r="F32" s="1">
        <f>50*12.5100804170543</f>
        <v>625.50402085271503</v>
      </c>
      <c r="G32" s="1">
        <f>50*1.21227465689187</f>
        <v>60.613732844593507</v>
      </c>
      <c r="H32" s="16">
        <f t="shared" si="24"/>
        <v>1365.9051402442672</v>
      </c>
      <c r="I32" s="16">
        <f t="shared" si="17"/>
        <v>132.36143414227212</v>
      </c>
      <c r="J32" s="16">
        <f>100*((H32/1000)/INDEX(Alkalis!$K$3:$K$12,MATCH($B$1,Alkalis!$A$3:$A$12,0)))</f>
        <v>0.51894514613699683</v>
      </c>
      <c r="K32" s="16">
        <f>100*((I32/1000)/INDEX(Alkalis!$K$3:$K$12,MATCH($B$1,Alkalis!$A$3:$A$12,0)))</f>
        <v>5.0287770182620622E-2</v>
      </c>
      <c r="L32" s="7">
        <f t="shared" si="25"/>
        <v>2.5869415534929295E-2</v>
      </c>
      <c r="M32" s="7">
        <f t="shared" si="26"/>
        <v>2.5068453436036379E-3</v>
      </c>
      <c r="N32" s="23">
        <f t="shared" ref="N32:N33" si="31">L32+0.658*M32</f>
        <v>2.751891977102049E-2</v>
      </c>
      <c r="O32" s="9">
        <f>100*L32/INDEX(Alkalis!G$3:G$12,MATCH($B$1,Alkalis!$A$3:$A$12,0))</f>
        <v>0.51894514613699694</v>
      </c>
      <c r="P32" s="9">
        <f>100*M32/INDEX(Alkalis!H$3:H$12,MATCH($B$1,Alkalis!$A$3:$A$12,0))</f>
        <v>0.78216703388569053</v>
      </c>
      <c r="Q32" s="23">
        <f>100*N32/INDEX(Alkalis!I$3:I$12,MATCH($B$1,Alkalis!$A$3:$A$12,0))</f>
        <v>0.52962870783075788</v>
      </c>
      <c r="R32" s="9">
        <f t="shared" si="29"/>
        <v>0.11382542835368889</v>
      </c>
      <c r="S32" s="9">
        <f t="shared" si="30"/>
        <v>1.1030119511856007E-2</v>
      </c>
      <c r="T32" s="23">
        <f t="shared" ref="T32:T33" si="32">440*N32/100</f>
        <v>0.12108324699249015</v>
      </c>
      <c r="U32"/>
      <c r="V32"/>
      <c r="W32" s="38">
        <f t="shared" si="27"/>
        <v>-8</v>
      </c>
    </row>
    <row r="33" spans="2:23" x14ac:dyDescent="0.35">
      <c r="B33" s="1" t="e">
        <f t="shared" si="22"/>
        <v>#N/A</v>
      </c>
      <c r="C33" s="4">
        <f t="shared" si="23"/>
        <v>0</v>
      </c>
      <c r="D33" s="16"/>
      <c r="E33" s="16">
        <f t="shared" si="28"/>
        <v>0</v>
      </c>
      <c r="F33" s="1"/>
      <c r="G33" s="1"/>
      <c r="H33" s="16" t="e">
        <f t="shared" si="24"/>
        <v>#N/A</v>
      </c>
      <c r="I33" s="16" t="e">
        <f t="shared" si="17"/>
        <v>#N/A</v>
      </c>
      <c r="J33" s="16" t="e">
        <f>100*((H33/1000)/INDEX(Alkalis!$K$3:$K$12,MATCH($B$1,Alkalis!$A$3:$A$12,0)))</f>
        <v>#N/A</v>
      </c>
      <c r="K33" s="16" t="e">
        <f>100*((I33/1000)/INDEX(Alkalis!$K$3:$K$12,MATCH($B$1,Alkalis!$A$3:$A$12,0)))</f>
        <v>#N/A</v>
      </c>
      <c r="L33" s="7" t="e">
        <f t="shared" si="25"/>
        <v>#N/A</v>
      </c>
      <c r="M33" s="7" t="e">
        <f t="shared" si="26"/>
        <v>#N/A</v>
      </c>
      <c r="N33" s="23" t="e">
        <f t="shared" si="31"/>
        <v>#N/A</v>
      </c>
      <c r="O33" s="9" t="e">
        <f>100*L33/INDEX(Alkalis!G$3:G$12,MATCH($B$1,Alkalis!$A$3:$A$12,0))</f>
        <v>#N/A</v>
      </c>
      <c r="P33" s="9" t="e">
        <f>100*M33/INDEX(Alkalis!H$3:H$12,MATCH($B$1,Alkalis!$A$3:$A$12,0))</f>
        <v>#N/A</v>
      </c>
      <c r="Q33" s="23" t="e">
        <f>100*N33/INDEX(Alkalis!I$3:I$12,MATCH($B$1,Alkalis!$A$3:$A$12,0))</f>
        <v>#N/A</v>
      </c>
      <c r="R33" s="9" t="e">
        <f t="shared" si="29"/>
        <v>#N/A</v>
      </c>
      <c r="S33" s="9" t="e">
        <f t="shared" si="30"/>
        <v>#N/A</v>
      </c>
      <c r="T33" s="23" t="e">
        <f t="shared" si="32"/>
        <v>#N/A</v>
      </c>
      <c r="U33"/>
      <c r="V33"/>
      <c r="W33" s="38">
        <f t="shared" si="27"/>
        <v>-8</v>
      </c>
    </row>
    <row r="34" spans="2:23" x14ac:dyDescent="0.35">
      <c r="U34"/>
      <c r="V34"/>
    </row>
    <row r="35" spans="2:23" x14ac:dyDescent="0.35">
      <c r="U35"/>
      <c r="V35"/>
    </row>
    <row r="36" spans="2:23" x14ac:dyDescent="0.35">
      <c r="U36"/>
      <c r="V36"/>
    </row>
  </sheetData>
  <mergeCells count="21">
    <mergeCell ref="W22:X22"/>
    <mergeCell ref="A7:A17"/>
    <mergeCell ref="R3:R4"/>
    <mergeCell ref="B6:C6"/>
    <mergeCell ref="L5:M5"/>
    <mergeCell ref="P3:P4"/>
    <mergeCell ref="Q3:Q4"/>
    <mergeCell ref="D3:G3"/>
    <mergeCell ref="L3:O3"/>
    <mergeCell ref="H3:K3"/>
    <mergeCell ref="C22:C23"/>
    <mergeCell ref="H22:I22"/>
    <mergeCell ref="F22:G22"/>
    <mergeCell ref="J22:T22"/>
    <mergeCell ref="T3:T4"/>
    <mergeCell ref="S3:S4"/>
    <mergeCell ref="B1:C1"/>
    <mergeCell ref="B3:C4"/>
    <mergeCell ref="B5:C5"/>
    <mergeCell ref="D5:E5"/>
    <mergeCell ref="H5:I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BA6EA-A98A-4E11-AF53-53CAED39E1BE}">
  <sheetPr>
    <tabColor rgb="FFFF0000"/>
  </sheetPr>
  <dimension ref="A1:V36"/>
  <sheetViews>
    <sheetView zoomScale="55" zoomScaleNormal="55" workbookViewId="0">
      <selection activeCell="P38" sqref="P38"/>
    </sheetView>
  </sheetViews>
  <sheetFormatPr defaultColWidth="8.81640625" defaultRowHeight="14.5" x14ac:dyDescent="0.35"/>
  <cols>
    <col min="1" max="1" width="3.54296875" style="17" bestFit="1" customWidth="1"/>
    <col min="2" max="2" width="15.26953125" style="17" bestFit="1" customWidth="1"/>
    <col min="3" max="3" width="15.26953125" style="17" customWidth="1"/>
    <col min="4" max="4" width="13.7265625" style="17" bestFit="1" customWidth="1"/>
    <col min="5" max="5" width="13.81640625" style="17" bestFit="1" customWidth="1"/>
    <col min="6" max="7" width="13.81640625" style="17" customWidth="1"/>
    <col min="8" max="8" width="13.7265625" style="17" bestFit="1" customWidth="1"/>
    <col min="9" max="9" width="13.81640625" style="17" bestFit="1" customWidth="1"/>
    <col min="10" max="11" width="13.81640625" style="17" customWidth="1"/>
    <col min="12" max="12" width="14.7265625" style="17" bestFit="1" customWidth="1"/>
    <col min="13" max="13" width="13.81640625" style="17" bestFit="1" customWidth="1"/>
    <col min="14" max="15" width="13.81640625" style="17" customWidth="1"/>
    <col min="16" max="16" width="17.26953125" style="17" bestFit="1" customWidth="1"/>
    <col min="17" max="17" width="16.26953125" style="17" bestFit="1" customWidth="1"/>
    <col min="18" max="18" width="18.26953125" style="17" customWidth="1"/>
    <col min="19" max="19" width="16.453125" style="17" bestFit="1" customWidth="1"/>
    <col min="20" max="20" width="15.1796875" style="17" bestFit="1" customWidth="1"/>
    <col min="21" max="21" width="16.26953125" style="17" bestFit="1" customWidth="1"/>
    <col min="22" max="22" width="18.7265625" style="17" bestFit="1" customWidth="1"/>
    <col min="23" max="16384" width="8.81640625" style="17"/>
  </cols>
  <sheetData>
    <row r="1" spans="1:20" x14ac:dyDescent="0.35">
      <c r="B1" s="41" t="s">
        <v>107</v>
      </c>
      <c r="C1" s="41"/>
    </row>
    <row r="3" spans="1:20" ht="14.5" customHeight="1" x14ac:dyDescent="0.35">
      <c r="B3" s="42" t="s">
        <v>3</v>
      </c>
      <c r="C3" s="43"/>
      <c r="D3" s="46" t="s">
        <v>5</v>
      </c>
      <c r="E3" s="53"/>
      <c r="F3" s="53"/>
      <c r="G3" s="47"/>
      <c r="H3" s="46" t="s">
        <v>6</v>
      </c>
      <c r="I3" s="53"/>
      <c r="J3" s="53"/>
      <c r="K3" s="47"/>
      <c r="L3" s="46" t="s">
        <v>7</v>
      </c>
      <c r="M3" s="53"/>
      <c r="N3" s="53"/>
      <c r="O3" s="47"/>
      <c r="P3" s="51" t="s">
        <v>103</v>
      </c>
      <c r="Q3" s="39" t="s">
        <v>82</v>
      </c>
      <c r="R3" s="51" t="s">
        <v>38</v>
      </c>
      <c r="S3" s="51" t="s">
        <v>81</v>
      </c>
      <c r="T3" s="39" t="s">
        <v>82</v>
      </c>
    </row>
    <row r="4" spans="1:20" ht="14.5" customHeight="1" x14ac:dyDescent="0.35">
      <c r="B4" s="44"/>
      <c r="C4" s="45"/>
      <c r="D4" s="1" t="s">
        <v>80</v>
      </c>
      <c r="E4" s="1" t="s">
        <v>102</v>
      </c>
      <c r="F4" s="15" t="s">
        <v>15</v>
      </c>
      <c r="G4" s="15" t="s">
        <v>83</v>
      </c>
      <c r="H4" s="1" t="s">
        <v>80</v>
      </c>
      <c r="I4" s="1" t="s">
        <v>102</v>
      </c>
      <c r="J4" s="15" t="s">
        <v>15</v>
      </c>
      <c r="K4" s="15" t="s">
        <v>83</v>
      </c>
      <c r="L4" s="1" t="s">
        <v>80</v>
      </c>
      <c r="M4" s="1" t="s">
        <v>102</v>
      </c>
      <c r="N4" s="15" t="s">
        <v>15</v>
      </c>
      <c r="O4" s="15" t="s">
        <v>83</v>
      </c>
      <c r="P4" s="51"/>
      <c r="Q4" s="39"/>
      <c r="R4" s="51"/>
      <c r="S4" s="51"/>
      <c r="T4" s="39"/>
    </row>
    <row r="5" spans="1:20" ht="16.5" x14ac:dyDescent="0.35">
      <c r="A5" s="20"/>
      <c r="B5" s="46" t="s">
        <v>1</v>
      </c>
      <c r="C5" s="47"/>
      <c r="D5" s="39">
        <v>400</v>
      </c>
      <c r="E5" s="39"/>
      <c r="F5" s="1"/>
      <c r="G5" s="1"/>
      <c r="H5" s="39">
        <v>400</v>
      </c>
      <c r="I5" s="39"/>
      <c r="J5" s="1"/>
      <c r="K5" s="1"/>
      <c r="L5" s="39">
        <v>400</v>
      </c>
      <c r="M5" s="39"/>
      <c r="N5" s="1"/>
      <c r="O5" s="1"/>
      <c r="P5" s="2"/>
      <c r="Q5" s="2"/>
      <c r="R5" s="2"/>
      <c r="S5" s="2"/>
      <c r="T5" s="2"/>
    </row>
    <row r="6" spans="1:20" x14ac:dyDescent="0.35">
      <c r="A6" s="20"/>
      <c r="B6" s="46" t="s">
        <v>2</v>
      </c>
      <c r="C6" s="47"/>
      <c r="D6" s="7">
        <v>-5.4180000000000001</v>
      </c>
      <c r="E6" s="5">
        <f>100*(D7-$D$6)/$D$5</f>
        <v>6.0250000000000137E-2</v>
      </c>
      <c r="F6" s="16">
        <v>9494.2999999999993</v>
      </c>
      <c r="G6" s="16"/>
      <c r="H6" s="7">
        <v>-3.97</v>
      </c>
      <c r="I6" s="5">
        <f>100*(H7-$H$6)/$H$5</f>
        <v>4.2625000000000031E-2</v>
      </c>
      <c r="J6" s="16">
        <v>9695.9</v>
      </c>
      <c r="K6" s="16"/>
      <c r="L6" s="7">
        <v>-6.6325000000000003</v>
      </c>
      <c r="M6" s="5">
        <f>100*(L7-$L$6)/$L$5</f>
        <v>1.3125000000000053E-2</v>
      </c>
      <c r="N6" s="16">
        <v>9409.5</v>
      </c>
      <c r="O6" s="16"/>
      <c r="P6" s="6">
        <f>IF(ISBLANK(D6),NA(),AVERAGE(E6,I6,M6))</f>
        <v>3.8666666666666738E-2</v>
      </c>
      <c r="Q6" s="6">
        <f>IF(ISBLANK(D6),NA(),_xlfn.STDEV.P(E6,I6,M6))</f>
        <v>1.944123981528845E-2</v>
      </c>
      <c r="R6" s="24"/>
      <c r="S6" s="2"/>
      <c r="T6" s="2"/>
    </row>
    <row r="7" spans="1:20" ht="15" customHeight="1" x14ac:dyDescent="0.35">
      <c r="A7" s="52" t="s">
        <v>0</v>
      </c>
      <c r="B7" s="1">
        <v>1</v>
      </c>
      <c r="C7" s="4">
        <v>44587</v>
      </c>
      <c r="D7" s="7">
        <v>-5.1769999999999996</v>
      </c>
      <c r="E7" s="3">
        <f>IF(ISBLANK(D7),NA(),100*(D7-$D$7)/$D$5)</f>
        <v>0</v>
      </c>
      <c r="F7" s="16">
        <v>9488.7000000000007</v>
      </c>
      <c r="G7" s="3">
        <f>IF(ISBLANK(F7),NA(),100*(F7-$F$7)/$F$7)</f>
        <v>0</v>
      </c>
      <c r="H7" s="7">
        <v>-3.7995000000000001</v>
      </c>
      <c r="I7" s="3">
        <f>IF(ISBLANK(H7),NA(),100*(H7-$H$7)/$H$5)</f>
        <v>0</v>
      </c>
      <c r="J7" s="16">
        <v>9696.7999999999993</v>
      </c>
      <c r="K7" s="3">
        <f>IF(ISBLANK(J7),NA(),100*(J7-$J$7)/$J$7)</f>
        <v>0</v>
      </c>
      <c r="L7" s="7">
        <v>-6.58</v>
      </c>
      <c r="M7" s="3">
        <f>100*(L7-$L$7)/$L$5</f>
        <v>0</v>
      </c>
      <c r="N7" s="16">
        <v>9405.9</v>
      </c>
      <c r="O7" s="3">
        <f>IF(ISBLANK(N7),NA(),100*(N7-$N$7)/$N$7)</f>
        <v>0</v>
      </c>
      <c r="P7" s="23">
        <f t="shared" ref="P7:P13" si="0">IF(ISBLANK(D7),NA(),AVERAGE(E7,I7,M7))</f>
        <v>0</v>
      </c>
      <c r="Q7" s="8">
        <f t="shared" ref="Q7:Q13" si="1">IF(ISBLANK(D7),NA(),_xlfn.STDEV.P(E7,I7,M7))</f>
        <v>0</v>
      </c>
      <c r="R7" s="8"/>
      <c r="S7" s="23">
        <f>AVERAGE(G7,K7,O7)</f>
        <v>0</v>
      </c>
      <c r="T7" s="9">
        <f>_xlfn.STDEV.P(G7,K7,O7)</f>
        <v>0</v>
      </c>
    </row>
    <row r="8" spans="1:20" x14ac:dyDescent="0.35">
      <c r="A8" s="52"/>
      <c r="B8" s="1">
        <f>IF(ISBLANK(C8),NA(),C8-C$7+1)</f>
        <v>7</v>
      </c>
      <c r="C8" s="4">
        <v>44593</v>
      </c>
      <c r="D8" s="7">
        <v>-5.3869999999999996</v>
      </c>
      <c r="E8" s="3">
        <f t="shared" ref="E8:E17" si="2">IF(ISBLANK(D8),NA(),100*(D8-$D$7)/$D$5)</f>
        <v>-5.2499999999999991E-2</v>
      </c>
      <c r="F8" s="16">
        <v>9494.4</v>
      </c>
      <c r="G8" s="3">
        <f t="shared" ref="G8:G17" si="3">IF(ISBLANK(F8),NA(),100*(F8-$F$7)/$F$7)</f>
        <v>6.0071453412995544E-2</v>
      </c>
      <c r="H8" s="7">
        <v>-3.956</v>
      </c>
      <c r="I8" s="3">
        <f t="shared" ref="I8:I17" si="4">IF(ISBLANK(H8),NA(),100*(H8-$H$7)/$H$5)</f>
        <v>-3.9124999999999965E-2</v>
      </c>
      <c r="J8" s="16">
        <v>9697.2999999999993</v>
      </c>
      <c r="K8" s="3">
        <f t="shared" ref="K8:K17" si="5">IF(ISBLANK(J8),NA(),100*(J8-$J$7)/$J$7)</f>
        <v>5.1563402359541292E-3</v>
      </c>
      <c r="L8" s="7">
        <v>-6.62</v>
      </c>
      <c r="M8" s="3">
        <f t="shared" ref="M8:M17" si="6">100*(L8-$L$7)/$L$5</f>
        <v>-1.0000000000000009E-2</v>
      </c>
      <c r="N8" s="16">
        <v>9409.7000000000007</v>
      </c>
      <c r="O8" s="3">
        <f t="shared" ref="O8:O17" si="7">IF(ISBLANK(N8),NA(),100*(N8-$N$7)/$N$7)</f>
        <v>4.0400174358658836E-2</v>
      </c>
      <c r="P8" s="23">
        <f t="shared" si="0"/>
        <v>-3.3874999999999988E-2</v>
      </c>
      <c r="Q8" s="8">
        <f t="shared" si="1"/>
        <v>1.7743249890216452E-2</v>
      </c>
      <c r="R8" s="8"/>
      <c r="S8" s="23">
        <f t="shared" ref="S8:S14" si="8">AVERAGE(G8,K8,O8)</f>
        <v>3.520932266920284E-2</v>
      </c>
      <c r="T8" s="9">
        <f t="shared" ref="T8:T14" si="9">_xlfn.STDEV.P(G8,K8,O8)</f>
        <v>2.2717484012074084E-2</v>
      </c>
    </row>
    <row r="9" spans="1:20" x14ac:dyDescent="0.35">
      <c r="A9" s="52"/>
      <c r="B9" s="1">
        <f t="shared" ref="B9:B17" si="10">IF(ISBLANK(C9),NA(),C9-C$7+1)</f>
        <v>29</v>
      </c>
      <c r="C9" s="4">
        <v>44615</v>
      </c>
      <c r="D9" s="7">
        <v>-5.3970000000000002</v>
      </c>
      <c r="E9" s="3">
        <f t="shared" si="2"/>
        <v>-5.500000000000016E-2</v>
      </c>
      <c r="F9" s="16">
        <v>9503.2000000000007</v>
      </c>
      <c r="G9" s="3">
        <f t="shared" si="3"/>
        <v>0.15281334640150915</v>
      </c>
      <c r="H9" s="7">
        <v>-3.9510000000000001</v>
      </c>
      <c r="I9" s="3">
        <f t="shared" si="4"/>
        <v>-3.7874999999999992E-2</v>
      </c>
      <c r="J9" s="16">
        <v>9706</v>
      </c>
      <c r="K9" s="3">
        <f t="shared" si="5"/>
        <v>9.4876660341563487E-2</v>
      </c>
      <c r="L9" s="7">
        <v>-6.617</v>
      </c>
      <c r="M9" s="3">
        <f t="shared" si="6"/>
        <v>-9.2499999999999805E-3</v>
      </c>
      <c r="N9" s="16">
        <v>9419</v>
      </c>
      <c r="O9" s="3">
        <f t="shared" si="7"/>
        <v>0.13927428528902461</v>
      </c>
      <c r="P9" s="23">
        <f t="shared" si="0"/>
        <v>-3.4041666666666713E-2</v>
      </c>
      <c r="Q9" s="8">
        <f t="shared" si="1"/>
        <v>1.8873022339366437E-2</v>
      </c>
      <c r="R9" s="8" t="s">
        <v>48</v>
      </c>
      <c r="S9" s="23">
        <f t="shared" si="8"/>
        <v>0.12898809734403241</v>
      </c>
      <c r="T9" s="9">
        <f t="shared" si="9"/>
        <v>2.4745627825698162E-2</v>
      </c>
    </row>
    <row r="10" spans="1:20" x14ac:dyDescent="0.35">
      <c r="A10" s="52"/>
      <c r="B10" s="1">
        <f t="shared" si="10"/>
        <v>57</v>
      </c>
      <c r="C10" s="4">
        <v>44643</v>
      </c>
      <c r="D10" s="7">
        <v>-5.3840000000000003</v>
      </c>
      <c r="E10" s="3">
        <f t="shared" si="2"/>
        <v>-5.1750000000000185E-2</v>
      </c>
      <c r="F10" s="16">
        <v>9510.2999999999993</v>
      </c>
      <c r="G10" s="3">
        <f t="shared" si="3"/>
        <v>0.22763919188085346</v>
      </c>
      <c r="H10" s="7">
        <v>-3.9380000000000002</v>
      </c>
      <c r="I10" s="3">
        <f t="shared" si="4"/>
        <v>-3.4625000000000017E-2</v>
      </c>
      <c r="J10" s="16">
        <v>9713.6</v>
      </c>
      <c r="K10" s="3">
        <f t="shared" si="5"/>
        <v>0.17325303192807001</v>
      </c>
      <c r="L10" s="7">
        <v>-6.6040000000000001</v>
      </c>
      <c r="M10" s="3">
        <f t="shared" si="6"/>
        <v>-6.0000000000000053E-3</v>
      </c>
      <c r="N10" s="16">
        <v>9426.1</v>
      </c>
      <c r="O10" s="3">
        <f t="shared" si="7"/>
        <v>0.21475882159071144</v>
      </c>
      <c r="P10" s="23">
        <f t="shared" si="0"/>
        <v>-3.0791666666666734E-2</v>
      </c>
      <c r="Q10" s="8">
        <f t="shared" si="1"/>
        <v>1.8873022339366437E-2</v>
      </c>
      <c r="R10" s="8"/>
      <c r="S10" s="23">
        <f t="shared" si="8"/>
        <v>0.20521701513321164</v>
      </c>
      <c r="T10" s="9">
        <f t="shared" si="9"/>
        <v>2.320557621861211E-2</v>
      </c>
    </row>
    <row r="11" spans="1:20" x14ac:dyDescent="0.35">
      <c r="A11" s="52"/>
      <c r="B11" s="1">
        <f t="shared" si="10"/>
        <v>84</v>
      </c>
      <c r="C11" s="4">
        <v>44670</v>
      </c>
      <c r="D11" s="7">
        <v>-5.3929999999999998</v>
      </c>
      <c r="E11" s="3">
        <f t="shared" si="2"/>
        <v>-5.4000000000000048E-2</v>
      </c>
      <c r="F11" s="16">
        <v>9515</v>
      </c>
      <c r="G11" s="3">
        <f t="shared" si="3"/>
        <v>0.27717179381790202</v>
      </c>
      <c r="H11" s="7">
        <v>-3.95</v>
      </c>
      <c r="I11" s="3">
        <f t="shared" si="4"/>
        <v>-3.762500000000002E-2</v>
      </c>
      <c r="J11" s="16">
        <v>9717.5</v>
      </c>
      <c r="K11" s="3">
        <f t="shared" si="5"/>
        <v>0.21347248576850847</v>
      </c>
      <c r="L11" s="7">
        <v>-6.6150000000000002</v>
      </c>
      <c r="M11" s="3">
        <f t="shared" si="6"/>
        <v>-8.7500000000000355E-3</v>
      </c>
      <c r="N11" s="16">
        <v>9430.4</v>
      </c>
      <c r="O11" s="3">
        <f t="shared" si="7"/>
        <v>0.26047480836496245</v>
      </c>
      <c r="P11" s="23">
        <f t="shared" si="0"/>
        <v>-3.3458333333333368E-2</v>
      </c>
      <c r="Q11" s="8">
        <f t="shared" si="1"/>
        <v>1.8706709283629296E-2</v>
      </c>
      <c r="R11" s="8"/>
      <c r="S11" s="23">
        <f t="shared" si="8"/>
        <v>0.2503730293171243</v>
      </c>
      <c r="T11" s="9">
        <f t="shared" si="9"/>
        <v>2.6968313708763129E-2</v>
      </c>
    </row>
    <row r="12" spans="1:20" x14ac:dyDescent="0.35">
      <c r="A12" s="52"/>
      <c r="B12" s="1">
        <f t="shared" si="10"/>
        <v>192</v>
      </c>
      <c r="C12" s="4">
        <v>44778</v>
      </c>
      <c r="D12" s="7">
        <v>-5.3869999999999996</v>
      </c>
      <c r="E12" s="3">
        <f t="shared" si="2"/>
        <v>-5.2499999999999991E-2</v>
      </c>
      <c r="F12" s="16">
        <v>9525</v>
      </c>
      <c r="G12" s="3">
        <f t="shared" si="3"/>
        <v>0.38256030857756351</v>
      </c>
      <c r="H12" s="7">
        <v>-3.944</v>
      </c>
      <c r="I12" s="3">
        <f t="shared" si="4"/>
        <v>-3.6124999999999963E-2</v>
      </c>
      <c r="J12" s="16">
        <v>9730</v>
      </c>
      <c r="K12" s="3">
        <f t="shared" si="5"/>
        <v>0.34238099166736169</v>
      </c>
      <c r="L12" s="7">
        <v>-6.593</v>
      </c>
      <c r="M12" s="3">
        <f t="shared" si="6"/>
        <v>-3.2499999999999751E-3</v>
      </c>
      <c r="N12" s="16">
        <v>9440</v>
      </c>
      <c r="O12" s="3">
        <f t="shared" si="7"/>
        <v>0.36253840674470666</v>
      </c>
      <c r="P12" s="23">
        <f t="shared" si="0"/>
        <v>-3.0624999999999975E-2</v>
      </c>
      <c r="Q12" s="8">
        <f t="shared" si="1"/>
        <v>2.0478901744641169E-2</v>
      </c>
      <c r="R12" s="8"/>
      <c r="S12" s="23">
        <f t="shared" si="8"/>
        <v>0.36249323566321062</v>
      </c>
      <c r="T12" s="9">
        <f t="shared" si="9"/>
        <v>1.6403168538680978E-2</v>
      </c>
    </row>
    <row r="13" spans="1:20" x14ac:dyDescent="0.35">
      <c r="A13" s="52"/>
      <c r="B13" s="1">
        <f t="shared" si="10"/>
        <v>366</v>
      </c>
      <c r="C13" s="4">
        <v>44952</v>
      </c>
      <c r="D13" s="7">
        <v>-5.38</v>
      </c>
      <c r="E13" s="3">
        <f t="shared" si="2"/>
        <v>-5.0750000000000073E-2</v>
      </c>
      <c r="F13" s="16">
        <v>9550</v>
      </c>
      <c r="G13" s="3">
        <f t="shared" si="3"/>
        <v>0.64603159547671718</v>
      </c>
      <c r="H13" s="7">
        <v>-3.944</v>
      </c>
      <c r="I13" s="3">
        <f t="shared" si="4"/>
        <v>-3.6124999999999963E-2</v>
      </c>
      <c r="J13" s="16">
        <v>9740</v>
      </c>
      <c r="K13" s="3">
        <f t="shared" si="5"/>
        <v>0.44550779638644428</v>
      </c>
      <c r="L13" s="7">
        <v>-6.6050000000000004</v>
      </c>
      <c r="M13" s="3">
        <f t="shared" si="6"/>
        <v>-6.2500000000000888E-3</v>
      </c>
      <c r="N13" s="16">
        <v>9450</v>
      </c>
      <c r="O13" s="3">
        <f t="shared" si="7"/>
        <v>0.46885465505693624</v>
      </c>
      <c r="P13" s="23">
        <f t="shared" si="0"/>
        <v>-3.1041666666666707E-2</v>
      </c>
      <c r="Q13" s="8">
        <f t="shared" si="1"/>
        <v>1.8519227995668588E-2</v>
      </c>
      <c r="R13" s="8"/>
      <c r="S13" s="23">
        <f t="shared" si="8"/>
        <v>0.52013134897336588</v>
      </c>
      <c r="T13" s="9">
        <f t="shared" si="9"/>
        <v>8.9533691999710202E-2</v>
      </c>
    </row>
    <row r="14" spans="1:20" x14ac:dyDescent="0.35">
      <c r="A14" s="52"/>
      <c r="B14" s="1">
        <f t="shared" si="10"/>
        <v>457</v>
      </c>
      <c r="C14" s="4">
        <v>45043</v>
      </c>
      <c r="D14" s="7">
        <v>-5.399</v>
      </c>
      <c r="E14" s="3">
        <f t="shared" si="2"/>
        <v>-5.5500000000000105E-2</v>
      </c>
      <c r="F14" s="16">
        <v>9550</v>
      </c>
      <c r="G14" s="3">
        <f t="shared" si="3"/>
        <v>0.64603159547671718</v>
      </c>
      <c r="H14" s="7">
        <v>-3.9620000000000002</v>
      </c>
      <c r="I14" s="3">
        <f t="shared" si="4"/>
        <v>-4.0625000000000015E-2</v>
      </c>
      <c r="J14" s="16">
        <v>9740</v>
      </c>
      <c r="K14" s="3">
        <f t="shared" si="5"/>
        <v>0.44550779638644428</v>
      </c>
      <c r="L14" s="7">
        <v>-6.6180000000000003</v>
      </c>
      <c r="M14" s="3">
        <f t="shared" si="6"/>
        <v>-9.5000000000000639E-3</v>
      </c>
      <c r="N14" s="16">
        <v>9450</v>
      </c>
      <c r="O14" s="3">
        <f t="shared" si="7"/>
        <v>0.46885465505693624</v>
      </c>
      <c r="P14" s="23">
        <f t="shared" ref="P14" si="11">IF(ISBLANK(D14),NA(),AVERAGE(E14,I14,M14))</f>
        <v>-3.5208333333333397E-2</v>
      </c>
      <c r="Q14" s="8">
        <f t="shared" ref="Q14" si="12">IF(ISBLANK(D14),NA(),_xlfn.STDEV.P(E14,I14,M14))</f>
        <v>1.916603259820758E-2</v>
      </c>
      <c r="R14" s="8"/>
      <c r="S14" s="23">
        <f t="shared" si="8"/>
        <v>0.52013134897336588</v>
      </c>
      <c r="T14" s="9">
        <f t="shared" si="9"/>
        <v>8.9533691999710202E-2</v>
      </c>
    </row>
    <row r="15" spans="1:20" x14ac:dyDescent="0.35">
      <c r="A15" s="52"/>
      <c r="B15" s="1">
        <f t="shared" si="10"/>
        <v>555</v>
      </c>
      <c r="C15" s="4">
        <v>45141</v>
      </c>
      <c r="D15" s="7">
        <v>-5.3979999999999997</v>
      </c>
      <c r="E15" s="3">
        <f t="shared" si="2"/>
        <v>-5.5250000000000021E-2</v>
      </c>
      <c r="F15" s="16">
        <v>9560</v>
      </c>
      <c r="G15" s="3">
        <f t="shared" si="3"/>
        <v>0.75142011023637867</v>
      </c>
      <c r="H15" s="7">
        <v>-3.96</v>
      </c>
      <c r="I15" s="3">
        <f t="shared" si="4"/>
        <v>-4.0124999999999966E-2</v>
      </c>
      <c r="J15" s="16">
        <v>9750</v>
      </c>
      <c r="K15" s="3">
        <f t="shared" si="5"/>
        <v>0.54863460110552686</v>
      </c>
      <c r="L15" s="7">
        <v>-6.6120000000000001</v>
      </c>
      <c r="M15" s="3">
        <f t="shared" si="6"/>
        <v>-8.0000000000000071E-3</v>
      </c>
      <c r="N15" s="16">
        <v>9465</v>
      </c>
      <c r="O15" s="3">
        <f t="shared" si="7"/>
        <v>0.62832902752528053</v>
      </c>
      <c r="P15" s="23">
        <f t="shared" ref="P15:P17" si="13">IF(ISBLANK(D15),NA(),AVERAGE(E15,I15,M15))</f>
        <v>-3.4458333333333334E-2</v>
      </c>
      <c r="Q15" s="8">
        <f t="shared" ref="Q15:Q17" si="14">IF(ISBLANK(D15),NA(),_xlfn.STDEV.P(E15,I15,M15))</f>
        <v>1.970150515964594E-2</v>
      </c>
      <c r="R15" s="8"/>
      <c r="S15" s="23">
        <f t="shared" ref="S15:S17" si="15">AVERAGE(G15,K15,O15)</f>
        <v>0.64279457962239539</v>
      </c>
      <c r="T15" s="9">
        <f t="shared" ref="T15:T17" si="16">_xlfn.STDEV.P(G15,K15,O15)</f>
        <v>8.3416344627298591E-2</v>
      </c>
    </row>
    <row r="16" spans="1:20" x14ac:dyDescent="0.35">
      <c r="A16" s="52"/>
      <c r="B16" s="1">
        <f>IF(ISBLANK(C16),NA(),C16-C$7+1)</f>
        <v>723</v>
      </c>
      <c r="C16" s="4">
        <v>45309</v>
      </c>
      <c r="D16" s="7">
        <v>-5.4089999999999998</v>
      </c>
      <c r="E16" s="3">
        <f t="shared" si="2"/>
        <v>-5.8000000000000052E-2</v>
      </c>
      <c r="F16" s="16">
        <v>9560</v>
      </c>
      <c r="G16" s="3">
        <f t="shared" si="3"/>
        <v>0.75142011023637867</v>
      </c>
      <c r="H16" s="7">
        <v>-3.9740000000000002</v>
      </c>
      <c r="I16" s="3">
        <f t="shared" si="4"/>
        <v>-4.3625000000000025E-2</v>
      </c>
      <c r="J16" s="16">
        <v>9745</v>
      </c>
      <c r="K16" s="3">
        <f t="shared" si="5"/>
        <v>0.4970711987459856</v>
      </c>
      <c r="L16" s="7">
        <v>-6.6289999999999996</v>
      </c>
      <c r="M16" s="3">
        <f t="shared" si="6"/>
        <v>-1.2249999999999872E-2</v>
      </c>
      <c r="N16" s="16">
        <v>9455</v>
      </c>
      <c r="O16" s="3">
        <f t="shared" si="7"/>
        <v>0.522012779213051</v>
      </c>
      <c r="P16" s="23">
        <f t="shared" si="13"/>
        <v>-3.7958333333333316E-2</v>
      </c>
      <c r="Q16" s="8">
        <f t="shared" si="14"/>
        <v>1.9102337698710031E-2</v>
      </c>
      <c r="R16" s="8"/>
      <c r="S16" s="23">
        <f t="shared" si="15"/>
        <v>0.59016802939847179</v>
      </c>
      <c r="T16" s="9">
        <f t="shared" si="16"/>
        <v>0.11447618614065509</v>
      </c>
    </row>
    <row r="17" spans="1:22" x14ac:dyDescent="0.35">
      <c r="A17" s="52"/>
      <c r="B17" s="1" t="e">
        <f t="shared" si="10"/>
        <v>#N/A</v>
      </c>
      <c r="C17" s="4"/>
      <c r="D17" s="7"/>
      <c r="E17" s="3" t="e">
        <f t="shared" si="2"/>
        <v>#N/A</v>
      </c>
      <c r="F17" s="16"/>
      <c r="G17" s="3" t="e">
        <f t="shared" si="3"/>
        <v>#N/A</v>
      </c>
      <c r="H17" s="7"/>
      <c r="I17" s="3" t="e">
        <f t="shared" si="4"/>
        <v>#N/A</v>
      </c>
      <c r="J17" s="16"/>
      <c r="K17" s="3" t="e">
        <f t="shared" si="5"/>
        <v>#N/A</v>
      </c>
      <c r="L17" s="7"/>
      <c r="M17" s="3">
        <f t="shared" si="6"/>
        <v>1.645</v>
      </c>
      <c r="N17" s="16"/>
      <c r="O17" s="3" t="e">
        <f t="shared" si="7"/>
        <v>#N/A</v>
      </c>
      <c r="P17" s="23" t="e">
        <f t="shared" si="13"/>
        <v>#N/A</v>
      </c>
      <c r="Q17" s="8" t="e">
        <f t="shared" si="14"/>
        <v>#N/A</v>
      </c>
      <c r="R17" s="8"/>
      <c r="S17" s="23" t="e">
        <f t="shared" si="15"/>
        <v>#N/A</v>
      </c>
      <c r="T17" s="9" t="e">
        <f t="shared" si="16"/>
        <v>#N/A</v>
      </c>
    </row>
    <row r="19" spans="1:22" x14ac:dyDescent="0.35">
      <c r="B19" s="21"/>
      <c r="S19"/>
      <c r="T19"/>
      <c r="U19"/>
    </row>
    <row r="20" spans="1:22" x14ac:dyDescent="0.35">
      <c r="S20"/>
      <c r="T20"/>
      <c r="U20"/>
    </row>
    <row r="21" spans="1:22" x14ac:dyDescent="0.35">
      <c r="C21" s="21"/>
    </row>
    <row r="22" spans="1:22" x14ac:dyDescent="0.35">
      <c r="C22" s="40" t="s">
        <v>10</v>
      </c>
      <c r="D22" s="13" t="s">
        <v>9</v>
      </c>
      <c r="E22" s="13" t="s">
        <v>11</v>
      </c>
      <c r="F22" s="48" t="s">
        <v>14</v>
      </c>
      <c r="G22" s="50"/>
      <c r="H22" s="48" t="s">
        <v>55</v>
      </c>
      <c r="I22" s="49"/>
      <c r="J22" s="40" t="s">
        <v>63</v>
      </c>
      <c r="K22" s="40"/>
      <c r="L22" s="40"/>
      <c r="M22" s="40"/>
      <c r="N22" s="40"/>
      <c r="O22" s="40"/>
      <c r="P22" s="40"/>
      <c r="Q22" s="40"/>
      <c r="R22" s="40"/>
      <c r="S22" s="40"/>
      <c r="T22" s="40"/>
      <c r="U22"/>
      <c r="V22"/>
    </row>
    <row r="23" spans="1:22" ht="16.5" x14ac:dyDescent="0.35">
      <c r="C23" s="40"/>
      <c r="D23" s="13"/>
      <c r="E23" s="13"/>
      <c r="F23" s="14" t="s">
        <v>12</v>
      </c>
      <c r="G23" s="14" t="s">
        <v>13</v>
      </c>
      <c r="H23" s="14" t="s">
        <v>52</v>
      </c>
      <c r="I23" s="14" t="s">
        <v>54</v>
      </c>
      <c r="J23" s="14" t="s">
        <v>65</v>
      </c>
      <c r="K23" s="14" t="s">
        <v>67</v>
      </c>
      <c r="L23" s="14" t="s">
        <v>69</v>
      </c>
      <c r="M23" s="14" t="s">
        <v>71</v>
      </c>
      <c r="N23" s="14" t="s">
        <v>73</v>
      </c>
      <c r="O23" s="14" t="s">
        <v>89</v>
      </c>
      <c r="P23" s="14" t="s">
        <v>90</v>
      </c>
      <c r="Q23" s="14" t="s">
        <v>92</v>
      </c>
      <c r="R23" s="14" t="s">
        <v>75</v>
      </c>
      <c r="S23" s="14" t="s">
        <v>77</v>
      </c>
      <c r="T23" s="14" t="s">
        <v>79</v>
      </c>
      <c r="U23"/>
      <c r="V23"/>
    </row>
    <row r="24" spans="1:22" x14ac:dyDescent="0.35">
      <c r="B24" s="1">
        <f>IF(ISBLANK(D24),NA(),C24-$C$24)</f>
        <v>0</v>
      </c>
      <c r="C24" s="4">
        <f>C7-1</f>
        <v>44586</v>
      </c>
      <c r="D24" s="16">
        <v>25.6</v>
      </c>
      <c r="E24" s="16">
        <f>D24/0.0129</f>
        <v>1984.4961240310079</v>
      </c>
      <c r="F24" s="1">
        <v>0</v>
      </c>
      <c r="G24" s="1">
        <v>0</v>
      </c>
      <c r="H24" s="16">
        <f>IF(ISBLANK(F24),NA(),F24*62/(23*2)*$E24/1000)</f>
        <v>0</v>
      </c>
      <c r="I24" s="16">
        <f t="shared" ref="I24:I33" si="17">IF(ISBLANK(G24),NA(),G24*62/(23*2)*$E24/1000)</f>
        <v>0</v>
      </c>
      <c r="J24" s="16">
        <f>100*((H24/1000)/INDEX(Alkalis!$K$3:$K$12,MATCH($B$1,Alkalis!$A$3:$A$12,0)))</f>
        <v>0</v>
      </c>
      <c r="K24" s="16">
        <f>100*((I24/1000)/INDEX(Alkalis!$K$3:$K$12,MATCH($B$1,Alkalis!$A$3:$A$12,0)))</f>
        <v>0</v>
      </c>
      <c r="L24" s="7">
        <f>100*(H24/1000)/(3*440*0.1*0.1*0.4*1000)</f>
        <v>0</v>
      </c>
      <c r="M24" s="7">
        <f>100*(I24/1000)/(3*440*0.1*0.1*0.4*1000)</f>
        <v>0</v>
      </c>
      <c r="N24" s="23">
        <f t="shared" ref="N24:N30" si="18">L24+0.658*M24</f>
        <v>0</v>
      </c>
      <c r="O24" s="9">
        <f>100*L24/INDEX(Alkalis!G$3:G$12,MATCH($B$1,Alkalis!$A$3:$A$12,0))</f>
        <v>0</v>
      </c>
      <c r="P24" s="9">
        <f>100*M24/INDEX(Alkalis!H$3:H$12,MATCH($B$1,Alkalis!$A$3:$A$12,0))</f>
        <v>0</v>
      </c>
      <c r="Q24" s="23">
        <f>100*N24/INDEX(Alkalis!I$3:I$12,MATCH($B$1,Alkalis!$A$3:$A$12,0))</f>
        <v>0</v>
      </c>
      <c r="R24" s="9">
        <f t="shared" ref="R24:R30" si="19">440*L24/100</f>
        <v>0</v>
      </c>
      <c r="S24" s="9">
        <f t="shared" ref="S24:S30" si="20">440*M24/100</f>
        <v>0</v>
      </c>
      <c r="T24" s="23">
        <f t="shared" ref="T24:T30" si="21">440*N24/100</f>
        <v>0</v>
      </c>
      <c r="U24"/>
      <c r="V24"/>
    </row>
    <row r="25" spans="1:22" x14ac:dyDescent="0.35">
      <c r="B25" s="1">
        <f t="shared" ref="B25:B33" si="22">IF(ISBLANK(D25),NA(),C25-$C$24)</f>
        <v>29</v>
      </c>
      <c r="C25" s="4">
        <f t="shared" ref="C25:C33" si="23">C9</f>
        <v>44615</v>
      </c>
      <c r="D25" s="16">
        <v>22.4</v>
      </c>
      <c r="E25" s="16">
        <f>D25/0.0129</f>
        <v>1736.4341085271317</v>
      </c>
      <c r="F25" s="1">
        <v>9.4508689010855367</v>
      </c>
      <c r="G25" s="1">
        <v>18.311456341204075</v>
      </c>
      <c r="H25" s="16">
        <f t="shared" ref="H25:H33" si="24">IF(ISBLANK(F25),NA(),F25*62/(23*2)*$E25/1000)</f>
        <v>22.118919328998306</v>
      </c>
      <c r="I25" s="16">
        <f t="shared" si="17"/>
        <v>42.856337321645121</v>
      </c>
      <c r="J25" s="16">
        <f>100*((H25/1000)/INDEX(Alkalis!$K$3:$K$12,MATCH($B$1,Alkalis!$A$3:$A$12,0)))</f>
        <v>6.8172323301151166E-2</v>
      </c>
      <c r="K25" s="16">
        <f>100*((I25/1000)/INDEX(Alkalis!$K$3:$K$12,MATCH($B$1,Alkalis!$A$3:$A$12,0)))</f>
        <v>0.13208674618945285</v>
      </c>
      <c r="L25" s="7">
        <f t="shared" ref="L25:L33" si="25">100*(H25/1000)/(3*440*0.1*0.1*0.4*1000)</f>
        <v>4.1891892668557387E-4</v>
      </c>
      <c r="M25" s="7">
        <f t="shared" ref="M25:M33" si="26">100*(I25/1000)/(3*440*0.1*0.1*0.4*1000)</f>
        <v>8.116730553341877E-4</v>
      </c>
      <c r="N25" s="23">
        <f t="shared" si="18"/>
        <v>9.5299979709546944E-4</v>
      </c>
      <c r="O25" s="9">
        <f>100*L25/INDEX(Alkalis!G$3:G$12,MATCH($B$1,Alkalis!$A$3:$A$12,0))</f>
        <v>6.8172323301151153E-2</v>
      </c>
      <c r="P25" s="9">
        <f>100*M25/INDEX(Alkalis!H$3:H$12,MATCH($B$1,Alkalis!$A$3:$A$12,0))</f>
        <v>4.9750110654869006E-2</v>
      </c>
      <c r="Q25" s="23">
        <f>100*N25/INDEX(Alkalis!I$3:I$12,MATCH($B$1,Alkalis!$A$3:$A$12,0))</f>
        <v>5.6456430915824765E-2</v>
      </c>
      <c r="R25" s="9">
        <f t="shared" si="19"/>
        <v>1.8432432774165249E-3</v>
      </c>
      <c r="S25" s="9">
        <f t="shared" si="20"/>
        <v>3.5713614434704261E-3</v>
      </c>
      <c r="T25" s="23">
        <f t="shared" si="21"/>
        <v>4.1931991072200652E-3</v>
      </c>
      <c r="U25"/>
      <c r="V25"/>
    </row>
    <row r="26" spans="1:22" x14ac:dyDescent="0.35">
      <c r="B26" s="1">
        <f t="shared" si="22"/>
        <v>57</v>
      </c>
      <c r="C26" s="4">
        <f t="shared" si="23"/>
        <v>44643</v>
      </c>
      <c r="D26" s="16">
        <v>24.7</v>
      </c>
      <c r="E26" s="16">
        <f t="shared" ref="E26:E33" si="27">D26/0.0129</f>
        <v>1914.7286821705425</v>
      </c>
      <c r="F26" s="1">
        <v>13.059110596314451</v>
      </c>
      <c r="G26" s="1">
        <v>23.941124225859763</v>
      </c>
      <c r="H26" s="16">
        <f t="shared" si="24"/>
        <v>33.70192444758333</v>
      </c>
      <c r="I26" s="16">
        <f t="shared" si="17"/>
        <v>61.785368452109267</v>
      </c>
      <c r="J26" s="16">
        <f>100*((H26/1000)/INDEX(Alkalis!$K$3:$K$12,MATCH($B$1,Alkalis!$A$3:$A$12,0)))</f>
        <v>0.10387209497615493</v>
      </c>
      <c r="K26" s="16">
        <f>100*((I26/1000)/INDEX(Alkalis!$K$3:$K$12,MATCH($B$1,Alkalis!$A$3:$A$12,0)))</f>
        <v>0.19042757246624892</v>
      </c>
      <c r="L26" s="7">
        <f t="shared" si="25"/>
        <v>6.3829402362847209E-4</v>
      </c>
      <c r="M26" s="7">
        <f t="shared" si="26"/>
        <v>1.1701774328050996E-3</v>
      </c>
      <c r="N26" s="23">
        <f t="shared" si="18"/>
        <v>1.4082707744142277E-3</v>
      </c>
      <c r="O26" s="9">
        <f>100*L26/INDEX(Alkalis!G$3:G$12,MATCH($B$1,Alkalis!$A$3:$A$12,0))</f>
        <v>0.10387209497615492</v>
      </c>
      <c r="P26" s="9">
        <f>100*M26/INDEX(Alkalis!H$3:H$12,MATCH($B$1,Alkalis!$A$3:$A$12,0))</f>
        <v>7.1724022850450486E-2</v>
      </c>
      <c r="Q26" s="23">
        <f>100*N26/INDEX(Alkalis!I$3:I$12,MATCH($B$1,Alkalis!$A$3:$A$12,0))</f>
        <v>8.3427028976090292E-2</v>
      </c>
      <c r="R26" s="9">
        <f t="shared" si="19"/>
        <v>2.8084937039652776E-3</v>
      </c>
      <c r="S26" s="9">
        <f t="shared" si="20"/>
        <v>5.148780704342438E-3</v>
      </c>
      <c r="T26" s="23">
        <f t="shared" si="21"/>
        <v>6.1963914074226025E-3</v>
      </c>
      <c r="U26"/>
      <c r="V26"/>
    </row>
    <row r="27" spans="1:22" x14ac:dyDescent="0.35">
      <c r="B27" s="1">
        <f t="shared" si="22"/>
        <v>84</v>
      </c>
      <c r="C27" s="4">
        <f t="shared" si="23"/>
        <v>44670</v>
      </c>
      <c r="D27" s="16">
        <v>22.7</v>
      </c>
      <c r="E27" s="16">
        <f t="shared" si="27"/>
        <v>1759.68992248062</v>
      </c>
      <c r="F27" s="1">
        <v>15.913347030149493</v>
      </c>
      <c r="G27" s="1">
        <v>29.40076792065112</v>
      </c>
      <c r="H27" s="16">
        <f t="shared" si="24"/>
        <v>37.742576019940003</v>
      </c>
      <c r="I27" s="16">
        <f t="shared" si="17"/>
        <v>69.731447205130422</v>
      </c>
      <c r="J27" s="16">
        <f>100*((H27/1000)/INDEX(Alkalis!$K$3:$K$12,MATCH($B$1,Alkalis!$A$3:$A$12,0)))</f>
        <v>0.11632571448806615</v>
      </c>
      <c r="K27" s="16">
        <f>100*((I27/1000)/INDEX(Alkalis!$K$3:$K$12,MATCH($B$1,Alkalis!$A$3:$A$12,0)))</f>
        <v>0.21491803882538901</v>
      </c>
      <c r="L27" s="7">
        <f t="shared" si="25"/>
        <v>7.1482151552916659E-4</v>
      </c>
      <c r="M27" s="7">
        <f t="shared" si="26"/>
        <v>1.3206713485820155E-3</v>
      </c>
      <c r="N27" s="23">
        <f t="shared" si="18"/>
        <v>1.5838232628961329E-3</v>
      </c>
      <c r="O27" s="9">
        <f>100*L27/INDEX(Alkalis!G$3:G$12,MATCH($B$1,Alkalis!$A$3:$A$12,0))</f>
        <v>0.11632571448806617</v>
      </c>
      <c r="P27" s="9">
        <f>100*M27/INDEX(Alkalis!H$3:H$12,MATCH($B$1,Alkalis!$A$3:$A$12,0))</f>
        <v>8.0948289830341122E-2</v>
      </c>
      <c r="Q27" s="23">
        <f>100*N27/INDEX(Alkalis!I$3:I$12,MATCH($B$1,Alkalis!$A$3:$A$12,0))</f>
        <v>9.3826891566078791E-2</v>
      </c>
      <c r="R27" s="9">
        <f t="shared" si="19"/>
        <v>3.1452146683283327E-3</v>
      </c>
      <c r="S27" s="9">
        <f t="shared" si="20"/>
        <v>5.8109539337608688E-3</v>
      </c>
      <c r="T27" s="23">
        <f t="shared" si="21"/>
        <v>6.9688223567429845E-3</v>
      </c>
      <c r="U27"/>
      <c r="V27"/>
    </row>
    <row r="28" spans="1:22" x14ac:dyDescent="0.35">
      <c r="B28" s="1">
        <f t="shared" si="22"/>
        <v>192</v>
      </c>
      <c r="C28" s="4">
        <f t="shared" si="23"/>
        <v>44778</v>
      </c>
      <c r="D28" s="16">
        <v>24.6</v>
      </c>
      <c r="E28" s="16">
        <f t="shared" si="27"/>
        <v>1906.9767441860465</v>
      </c>
      <c r="F28" s="1">
        <v>22.906910580339719</v>
      </c>
      <c r="G28" s="1">
        <v>38.71995866679444</v>
      </c>
      <c r="H28" s="16">
        <f t="shared" si="24"/>
        <v>58.877013847546579</v>
      </c>
      <c r="I28" s="16">
        <f t="shared" si="17"/>
        <v>99.520864439829609</v>
      </c>
      <c r="J28" s="16">
        <f>100*((H28/1000)/INDEX(Alkalis!$K$3:$K$12,MATCH($B$1,Alkalis!$A$3:$A$12,0)))</f>
        <v>0.18146378506653157</v>
      </c>
      <c r="K28" s="16">
        <f>100*((I28/1000)/INDEX(Alkalis!$K$3:$K$12,MATCH($B$1,Alkalis!$A$3:$A$12,0)))</f>
        <v>0.30673146571439447</v>
      </c>
      <c r="L28" s="7">
        <f t="shared" si="25"/>
        <v>1.1150949592338365E-3</v>
      </c>
      <c r="M28" s="7">
        <f t="shared" si="26"/>
        <v>1.8848648568149543E-3</v>
      </c>
      <c r="N28" s="23">
        <f t="shared" si="18"/>
        <v>2.3553360350180765E-3</v>
      </c>
      <c r="O28" s="9">
        <f>100*L28/INDEX(Alkalis!G$3:G$12,MATCH($B$1,Alkalis!$A$3:$A$12,0))</f>
        <v>0.18146378506653155</v>
      </c>
      <c r="P28" s="9">
        <f>100*M28/INDEX(Alkalis!H$3:H$12,MATCH($B$1,Alkalis!$A$3:$A$12,0))</f>
        <v>0.11552956523536342</v>
      </c>
      <c r="Q28" s="23">
        <f>100*N28/INDEX(Alkalis!I$3:I$12,MATCH($B$1,Alkalis!$A$3:$A$12,0))</f>
        <v>0.13953189344827283</v>
      </c>
      <c r="R28" s="9">
        <f t="shared" si="19"/>
        <v>4.9064178206288805E-3</v>
      </c>
      <c r="S28" s="9">
        <f t="shared" si="20"/>
        <v>8.2934053699857992E-3</v>
      </c>
      <c r="T28" s="23">
        <f t="shared" si="21"/>
        <v>1.0363478554079536E-2</v>
      </c>
      <c r="U28"/>
      <c r="V28"/>
    </row>
    <row r="29" spans="1:22" x14ac:dyDescent="0.35">
      <c r="B29" s="1">
        <f t="shared" si="22"/>
        <v>366</v>
      </c>
      <c r="C29" s="4">
        <f t="shared" si="23"/>
        <v>44952</v>
      </c>
      <c r="D29" s="16">
        <v>24.5</v>
      </c>
      <c r="E29" s="16">
        <f t="shared" si="27"/>
        <v>1899.2248062015503</v>
      </c>
      <c r="F29" s="1"/>
      <c r="G29" s="1"/>
      <c r="H29" s="16" t="e">
        <f t="shared" si="24"/>
        <v>#N/A</v>
      </c>
      <c r="I29" s="16" t="e">
        <f t="shared" si="17"/>
        <v>#N/A</v>
      </c>
      <c r="J29" s="16" t="e">
        <f>100*((H29/1000)/INDEX(Alkalis!$K$3:$K$12,MATCH($B$1,Alkalis!$A$3:$A$12,0)))</f>
        <v>#N/A</v>
      </c>
      <c r="K29" s="16" t="e">
        <f>100*((I29/1000)/INDEX(Alkalis!$K$3:$K$12,MATCH($B$1,Alkalis!$A$3:$A$12,0)))</f>
        <v>#N/A</v>
      </c>
      <c r="L29" s="7" t="e">
        <f t="shared" si="25"/>
        <v>#N/A</v>
      </c>
      <c r="M29" s="7" t="e">
        <f t="shared" si="26"/>
        <v>#N/A</v>
      </c>
      <c r="N29" s="23" t="e">
        <f t="shared" si="18"/>
        <v>#N/A</v>
      </c>
      <c r="O29" s="9" t="e">
        <f>100*L29/INDEX(Alkalis!G$3:G$12,MATCH($B$1,Alkalis!$A$3:$A$12,0))</f>
        <v>#N/A</v>
      </c>
      <c r="P29" s="9" t="e">
        <f>100*M29/INDEX(Alkalis!H$3:H$12,MATCH($B$1,Alkalis!$A$3:$A$12,0))</f>
        <v>#N/A</v>
      </c>
      <c r="Q29" s="23" t="e">
        <f>100*N29/INDEX(Alkalis!I$3:I$12,MATCH($B$1,Alkalis!$A$3:$A$12,0))</f>
        <v>#N/A</v>
      </c>
      <c r="R29" s="9" t="e">
        <f t="shared" si="19"/>
        <v>#N/A</v>
      </c>
      <c r="S29" s="9" t="e">
        <f t="shared" si="20"/>
        <v>#N/A</v>
      </c>
      <c r="T29" s="23" t="e">
        <f t="shared" si="21"/>
        <v>#N/A</v>
      </c>
      <c r="U29"/>
      <c r="V29"/>
    </row>
    <row r="30" spans="1:22" x14ac:dyDescent="0.35">
      <c r="B30" s="1">
        <f t="shared" si="22"/>
        <v>457</v>
      </c>
      <c r="C30" s="4">
        <f t="shared" si="23"/>
        <v>45043</v>
      </c>
      <c r="D30" s="16">
        <v>26.4</v>
      </c>
      <c r="E30" s="16">
        <f t="shared" si="27"/>
        <v>2046.5116279069766</v>
      </c>
      <c r="F30" s="1">
        <f>10*4.33112219658888</f>
        <v>43.311221965888798</v>
      </c>
      <c r="G30" s="1">
        <f>10*6.16681862689899</f>
        <v>61.668186268989899</v>
      </c>
      <c r="H30" s="16">
        <f t="shared" si="24"/>
        <v>119.46715219711288</v>
      </c>
      <c r="I30" s="16">
        <f t="shared" si="17"/>
        <v>170.10193340930681</v>
      </c>
      <c r="J30" s="16">
        <f>100*((H30/1000)/INDEX(Alkalis!$K$3:$K$12,MATCH($B$1,Alkalis!$A$3:$A$12,0)))</f>
        <v>0.36820756033826729</v>
      </c>
      <c r="K30" s="16">
        <f>100*((I30/1000)/INDEX(Alkalis!$K$3:$K$12,MATCH($B$1,Alkalis!$A$3:$A$12,0)))</f>
        <v>0.52426810849331429</v>
      </c>
      <c r="L30" s="7">
        <f t="shared" si="25"/>
        <v>2.2626354582786523E-3</v>
      </c>
      <c r="M30" s="7">
        <f t="shared" si="26"/>
        <v>3.221627526691417E-3</v>
      </c>
      <c r="N30" s="23">
        <f t="shared" si="18"/>
        <v>4.3824663708416046E-3</v>
      </c>
      <c r="O30" s="9">
        <f>100*L30/INDEX(Alkalis!G$3:G$12,MATCH($B$1,Alkalis!$A$3:$A$12,0))</f>
        <v>0.36820756033826724</v>
      </c>
      <c r="P30" s="9">
        <f>100*M30/INDEX(Alkalis!H$3:H$12,MATCH($B$1,Alkalis!$A$3:$A$12,0))</f>
        <v>0.19746414506229953</v>
      </c>
      <c r="Q30" s="23">
        <f>100*N30/INDEX(Alkalis!I$3:I$12,MATCH($B$1,Alkalis!$A$3:$A$12,0))</f>
        <v>0.25962063230277738</v>
      </c>
      <c r="R30" s="9">
        <f t="shared" si="19"/>
        <v>9.9555960164260712E-3</v>
      </c>
      <c r="S30" s="9">
        <f t="shared" si="20"/>
        <v>1.4175161117442235E-2</v>
      </c>
      <c r="T30" s="23">
        <f t="shared" si="21"/>
        <v>1.928285203170306E-2</v>
      </c>
      <c r="U30"/>
      <c r="V30"/>
    </row>
    <row r="31" spans="1:22" x14ac:dyDescent="0.35">
      <c r="B31" s="1">
        <f t="shared" si="22"/>
        <v>555</v>
      </c>
      <c r="C31" s="4">
        <f t="shared" si="23"/>
        <v>45141</v>
      </c>
      <c r="D31" s="16">
        <v>24.4</v>
      </c>
      <c r="E31" s="16">
        <f t="shared" si="27"/>
        <v>1891.4728682170542</v>
      </c>
      <c r="F31" s="1">
        <f>10*6.33889644161065</f>
        <v>63.388964416106504</v>
      </c>
      <c r="G31" s="1">
        <f>10*8.45032714704401</f>
        <v>84.503271470440097</v>
      </c>
      <c r="H31" s="16">
        <f t="shared" si="24"/>
        <v>161.60233462872583</v>
      </c>
      <c r="I31" s="16">
        <f t="shared" si="17"/>
        <v>215.43065230954122</v>
      </c>
      <c r="J31" s="16">
        <f>100*((H31/1000)/INDEX(Alkalis!$K$3:$K$12,MATCH($B$1,Alkalis!$A$3:$A$12,0)))</f>
        <v>0.49807164801614334</v>
      </c>
      <c r="K31" s="16">
        <f>100*((I31/1000)/INDEX(Alkalis!$K$3:$K$12,MATCH($B$1,Alkalis!$A$3:$A$12,0)))</f>
        <v>0.66397493746314196</v>
      </c>
      <c r="L31" s="7">
        <f t="shared" si="25"/>
        <v>3.0606502770592009E-3</v>
      </c>
      <c r="M31" s="7">
        <f t="shared" si="26"/>
        <v>4.0801259907110076E-3</v>
      </c>
      <c r="N31" s="23">
        <f t="shared" ref="N31:N33" si="28">L31+0.658*M31</f>
        <v>5.7453731789470445E-3</v>
      </c>
      <c r="O31" s="9">
        <f>100*L31/INDEX(Alkalis!G$3:G$12,MATCH($B$1,Alkalis!$A$3:$A$12,0))</f>
        <v>0.49807164801614329</v>
      </c>
      <c r="P31" s="9">
        <f>100*M31/INDEX(Alkalis!H$3:H$12,MATCH($B$1,Alkalis!$A$3:$A$12,0))</f>
        <v>0.25008433899546478</v>
      </c>
      <c r="Q31" s="23">
        <f>100*N31/INDEX(Alkalis!I$3:I$12,MATCH($B$1,Alkalis!$A$3:$A$12,0))</f>
        <v>0.34036026550209469</v>
      </c>
      <c r="R31" s="9">
        <f t="shared" ref="R31:R33" si="29">440*L31/100</f>
        <v>1.3466861219060483E-2</v>
      </c>
      <c r="S31" s="9">
        <f t="shared" ref="S31:S33" si="30">440*M31/100</f>
        <v>1.7952554359128434E-2</v>
      </c>
      <c r="T31" s="23">
        <f t="shared" ref="T31:T33" si="31">440*N31/100</f>
        <v>2.5279641987366996E-2</v>
      </c>
      <c r="U31"/>
      <c r="V31"/>
    </row>
    <row r="32" spans="1:22" x14ac:dyDescent="0.35">
      <c r="B32" s="1">
        <f t="shared" si="22"/>
        <v>723</v>
      </c>
      <c r="C32" s="4">
        <f t="shared" si="23"/>
        <v>45309</v>
      </c>
      <c r="D32" s="16">
        <v>23.6</v>
      </c>
      <c r="E32" s="16">
        <f t="shared" si="27"/>
        <v>1829.4573643410854</v>
      </c>
      <c r="F32" s="1">
        <f>10*6.12860496500224</f>
        <v>61.286049650022399</v>
      </c>
      <c r="G32" s="1">
        <f>10*9.72358822725118</f>
        <v>97.235882272511816</v>
      </c>
      <c r="H32" s="16">
        <f t="shared" si="24"/>
        <v>151.11855046833966</v>
      </c>
      <c r="I32" s="16">
        <f t="shared" si="17"/>
        <v>239.76330121526675</v>
      </c>
      <c r="J32" s="16">
        <f>100*((H32/1000)/INDEX(Alkalis!$K$3:$K$12,MATCH($B$1,Alkalis!$A$3:$A$12,0)))</f>
        <v>0.46575976547926268</v>
      </c>
      <c r="K32" s="16">
        <f>100*((I32/1000)/INDEX(Alkalis!$K$3:$K$12,MATCH($B$1,Alkalis!$A$3:$A$12,0)))</f>
        <v>0.73897015686338585</v>
      </c>
      <c r="L32" s="7">
        <f t="shared" si="25"/>
        <v>2.8620937588700688E-3</v>
      </c>
      <c r="M32" s="7">
        <f t="shared" si="26"/>
        <v>4.5409716139255063E-3</v>
      </c>
      <c r="N32" s="23">
        <f t="shared" si="28"/>
        <v>5.8500530808330521E-3</v>
      </c>
      <c r="O32" s="9">
        <f>100*L32/INDEX(Alkalis!G$3:G$12,MATCH($B$1,Alkalis!$A$3:$A$12,0))</f>
        <v>0.46575976547926262</v>
      </c>
      <c r="P32" s="9">
        <f>100*M32/INDEX(Alkalis!H$3:H$12,MATCH($B$1,Alkalis!$A$3:$A$12,0))</f>
        <v>0.27833108268008006</v>
      </c>
      <c r="Q32" s="23">
        <f>100*N32/INDEX(Alkalis!I$3:I$12,MATCH($B$1,Alkalis!$A$3:$A$12,0))</f>
        <v>0.34656158229892364</v>
      </c>
      <c r="R32" s="9">
        <f t="shared" si="29"/>
        <v>1.2593212539028302E-2</v>
      </c>
      <c r="S32" s="9">
        <f t="shared" si="30"/>
        <v>1.9980275101272225E-2</v>
      </c>
      <c r="T32" s="23">
        <f t="shared" si="31"/>
        <v>2.5740233555665428E-2</v>
      </c>
      <c r="U32"/>
      <c r="V32"/>
    </row>
    <row r="33" spans="2:22" x14ac:dyDescent="0.35">
      <c r="B33" s="1" t="e">
        <f t="shared" si="22"/>
        <v>#N/A</v>
      </c>
      <c r="C33" s="4">
        <f t="shared" si="23"/>
        <v>0</v>
      </c>
      <c r="D33" s="16"/>
      <c r="E33" s="16">
        <f t="shared" si="27"/>
        <v>0</v>
      </c>
      <c r="F33" s="1"/>
      <c r="G33" s="1"/>
      <c r="H33" s="16" t="e">
        <f t="shared" si="24"/>
        <v>#N/A</v>
      </c>
      <c r="I33" s="16" t="e">
        <f t="shared" si="17"/>
        <v>#N/A</v>
      </c>
      <c r="J33" s="16" t="e">
        <f>100*((H33/1000)/INDEX(Alkalis!$K$3:$K$12,MATCH($B$1,Alkalis!$A$3:$A$12,0)))</f>
        <v>#N/A</v>
      </c>
      <c r="K33" s="16" t="e">
        <f>100*((I33/1000)/INDEX(Alkalis!$K$3:$K$12,MATCH($B$1,Alkalis!$A$3:$A$12,0)))</f>
        <v>#N/A</v>
      </c>
      <c r="L33" s="7" t="e">
        <f t="shared" si="25"/>
        <v>#N/A</v>
      </c>
      <c r="M33" s="7" t="e">
        <f t="shared" si="26"/>
        <v>#N/A</v>
      </c>
      <c r="N33" s="23" t="e">
        <f t="shared" si="28"/>
        <v>#N/A</v>
      </c>
      <c r="O33" s="9" t="e">
        <f>100*L33/INDEX(Alkalis!G$3:G$12,MATCH($B$1,Alkalis!$A$3:$A$12,0))</f>
        <v>#N/A</v>
      </c>
      <c r="P33" s="9" t="e">
        <f>100*M33/INDEX(Alkalis!H$3:H$12,MATCH($B$1,Alkalis!$A$3:$A$12,0))</f>
        <v>#N/A</v>
      </c>
      <c r="Q33" s="23" t="e">
        <f>100*N33/INDEX(Alkalis!I$3:I$12,MATCH($B$1,Alkalis!$A$3:$A$12,0))</f>
        <v>#N/A</v>
      </c>
      <c r="R33" s="9" t="e">
        <f t="shared" si="29"/>
        <v>#N/A</v>
      </c>
      <c r="S33" s="9" t="e">
        <f t="shared" si="30"/>
        <v>#N/A</v>
      </c>
      <c r="T33" s="23" t="e">
        <f t="shared" si="31"/>
        <v>#N/A</v>
      </c>
      <c r="U33"/>
      <c r="V33"/>
    </row>
    <row r="34" spans="2:22" x14ac:dyDescent="0.35">
      <c r="U34"/>
      <c r="V34"/>
    </row>
    <row r="35" spans="2:22" x14ac:dyDescent="0.35">
      <c r="U35"/>
      <c r="V35"/>
    </row>
    <row r="36" spans="2:22" x14ac:dyDescent="0.35">
      <c r="U36"/>
      <c r="V36"/>
    </row>
  </sheetData>
  <mergeCells count="20">
    <mergeCell ref="A7:A17"/>
    <mergeCell ref="R3:R4"/>
    <mergeCell ref="B6:C6"/>
    <mergeCell ref="L5:M5"/>
    <mergeCell ref="P3:P4"/>
    <mergeCell ref="Q3:Q4"/>
    <mergeCell ref="D3:G3"/>
    <mergeCell ref="L3:O3"/>
    <mergeCell ref="H3:K3"/>
    <mergeCell ref="B1:C1"/>
    <mergeCell ref="B3:C4"/>
    <mergeCell ref="B5:C5"/>
    <mergeCell ref="D5:E5"/>
    <mergeCell ref="H5:I5"/>
    <mergeCell ref="C22:C23"/>
    <mergeCell ref="H22:I22"/>
    <mergeCell ref="F22:G22"/>
    <mergeCell ref="J22:T22"/>
    <mergeCell ref="T3:T4"/>
    <mergeCell ref="S3:S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D2A99-0B2B-4BF2-A39A-03E72762ACD7}">
  <sheetPr>
    <tabColor rgb="FFFF0000"/>
  </sheetPr>
  <dimension ref="A1:V36"/>
  <sheetViews>
    <sheetView zoomScale="55" zoomScaleNormal="55" workbookViewId="0">
      <selection activeCell="P38" sqref="P38"/>
    </sheetView>
  </sheetViews>
  <sheetFormatPr defaultColWidth="8.81640625" defaultRowHeight="14.5" x14ac:dyDescent="0.35"/>
  <cols>
    <col min="1" max="1" width="3.54296875" style="17" bestFit="1" customWidth="1"/>
    <col min="2" max="2" width="15.26953125" style="17" bestFit="1" customWidth="1"/>
    <col min="3" max="3" width="15.26953125" style="17" customWidth="1"/>
    <col min="4" max="4" width="13.7265625" style="17" bestFit="1" customWidth="1"/>
    <col min="5" max="5" width="13.81640625" style="17" bestFit="1" customWidth="1"/>
    <col min="6" max="7" width="13.81640625" style="17" customWidth="1"/>
    <col min="8" max="8" width="13.7265625" style="17" bestFit="1" customWidth="1"/>
    <col min="9" max="9" width="13.81640625" style="17" bestFit="1" customWidth="1"/>
    <col min="10" max="11" width="13.81640625" style="17" customWidth="1"/>
    <col min="12" max="12" width="14.7265625" style="17" bestFit="1" customWidth="1"/>
    <col min="13" max="13" width="13.81640625" style="17" bestFit="1" customWidth="1"/>
    <col min="14" max="15" width="13.81640625" style="17" customWidth="1"/>
    <col min="16" max="16" width="17.26953125" style="17" bestFit="1" customWidth="1"/>
    <col min="17" max="17" width="16.26953125" style="17" bestFit="1" customWidth="1"/>
    <col min="18" max="18" width="18.26953125" style="17" customWidth="1"/>
    <col min="19" max="19" width="16.453125" style="17" bestFit="1" customWidth="1"/>
    <col min="20" max="20" width="15.1796875" style="17" bestFit="1" customWidth="1"/>
    <col min="21" max="21" width="16.26953125" style="17" bestFit="1" customWidth="1"/>
    <col min="22" max="22" width="18.7265625" style="17" bestFit="1" customWidth="1"/>
    <col min="23" max="16384" width="8.81640625" style="17"/>
  </cols>
  <sheetData>
    <row r="1" spans="1:20" x14ac:dyDescent="0.35">
      <c r="B1" s="41" t="s">
        <v>106</v>
      </c>
      <c r="C1" s="41"/>
    </row>
    <row r="3" spans="1:20" ht="14.5" customHeight="1" x14ac:dyDescent="0.35">
      <c r="B3" s="42" t="s">
        <v>3</v>
      </c>
      <c r="C3" s="43"/>
      <c r="D3" s="46" t="s">
        <v>28</v>
      </c>
      <c r="E3" s="53"/>
      <c r="F3" s="53"/>
      <c r="G3" s="47"/>
      <c r="H3" s="46" t="s">
        <v>29</v>
      </c>
      <c r="I3" s="53"/>
      <c r="J3" s="53"/>
      <c r="K3" s="47"/>
      <c r="L3" s="46" t="s">
        <v>30</v>
      </c>
      <c r="M3" s="53"/>
      <c r="N3" s="53"/>
      <c r="O3" s="47"/>
      <c r="P3" s="51" t="s">
        <v>103</v>
      </c>
      <c r="Q3" s="39" t="s">
        <v>82</v>
      </c>
      <c r="R3" s="51" t="s">
        <v>38</v>
      </c>
      <c r="S3" s="51" t="s">
        <v>81</v>
      </c>
      <c r="T3" s="39" t="s">
        <v>82</v>
      </c>
    </row>
    <row r="4" spans="1:20" ht="14.5" customHeight="1" x14ac:dyDescent="0.35">
      <c r="B4" s="44"/>
      <c r="C4" s="45"/>
      <c r="D4" s="1" t="s">
        <v>80</v>
      </c>
      <c r="E4" s="1" t="s">
        <v>102</v>
      </c>
      <c r="F4" s="15" t="s">
        <v>15</v>
      </c>
      <c r="G4" s="15" t="s">
        <v>83</v>
      </c>
      <c r="H4" s="1" t="s">
        <v>80</v>
      </c>
      <c r="I4" s="1" t="s">
        <v>102</v>
      </c>
      <c r="J4" s="15" t="s">
        <v>15</v>
      </c>
      <c r="K4" s="15" t="s">
        <v>83</v>
      </c>
      <c r="L4" s="1" t="s">
        <v>80</v>
      </c>
      <c r="M4" s="1" t="s">
        <v>102</v>
      </c>
      <c r="N4" s="15" t="s">
        <v>15</v>
      </c>
      <c r="O4" s="15" t="s">
        <v>83</v>
      </c>
      <c r="P4" s="51"/>
      <c r="Q4" s="39"/>
      <c r="R4" s="51"/>
      <c r="S4" s="51"/>
      <c r="T4" s="39"/>
    </row>
    <row r="5" spans="1:20" ht="16.5" x14ac:dyDescent="0.35">
      <c r="A5" s="20"/>
      <c r="B5" s="46" t="s">
        <v>1</v>
      </c>
      <c r="C5" s="47"/>
      <c r="D5" s="39">
        <v>400</v>
      </c>
      <c r="E5" s="39"/>
      <c r="F5" s="1"/>
      <c r="G5" s="1"/>
      <c r="H5" s="39">
        <v>400</v>
      </c>
      <c r="I5" s="39"/>
      <c r="J5" s="1"/>
      <c r="K5" s="1"/>
      <c r="L5" s="39">
        <v>400</v>
      </c>
      <c r="M5" s="39"/>
      <c r="N5" s="1"/>
      <c r="O5" s="1"/>
      <c r="P5" s="2"/>
      <c r="Q5" s="2"/>
      <c r="R5" s="2"/>
      <c r="S5" s="2"/>
      <c r="T5" s="2"/>
    </row>
    <row r="6" spans="1:20" x14ac:dyDescent="0.35">
      <c r="A6" s="20"/>
      <c r="B6" s="46" t="s">
        <v>2</v>
      </c>
      <c r="C6" s="47"/>
      <c r="D6" s="7">
        <v>-3.8694999999999999</v>
      </c>
      <c r="E6" s="5">
        <f>100*(D7-$D$6)/$D$5</f>
        <v>1.2249999999999983E-2</v>
      </c>
      <c r="F6" s="16">
        <v>9492.2000000000007</v>
      </c>
      <c r="G6" s="16"/>
      <c r="H6" s="7">
        <v>-3.9180000000000001</v>
      </c>
      <c r="I6" s="5">
        <f>100*(H7-$H$6)/$H$5</f>
        <v>1.4125000000000054E-2</v>
      </c>
      <c r="J6" s="16">
        <v>9494.5</v>
      </c>
      <c r="K6" s="16"/>
      <c r="L6" s="7">
        <v>-3.6989999999999998</v>
      </c>
      <c r="M6" s="5">
        <f>100*(L7-$L$6)/$L$5</f>
        <v>1.3124999999999942E-2</v>
      </c>
      <c r="N6" s="16">
        <v>9583.4</v>
      </c>
      <c r="O6" s="16"/>
      <c r="P6" s="6">
        <f>IF(ISBLANK(D6),NA(),AVERAGE(E6,I6,M6))</f>
        <v>1.316666666666666E-2</v>
      </c>
      <c r="Q6" s="6">
        <f>IF(ISBLANK(D6),NA(),_xlfn.STDEV.P(E6,I6,M6))</f>
        <v>7.6603234628545684E-4</v>
      </c>
      <c r="R6" s="24"/>
      <c r="S6" s="2"/>
      <c r="T6" s="2"/>
    </row>
    <row r="7" spans="1:20" ht="15" customHeight="1" x14ac:dyDescent="0.35">
      <c r="A7" s="52" t="s">
        <v>0</v>
      </c>
      <c r="B7" s="1">
        <v>1</v>
      </c>
      <c r="C7" s="4">
        <v>44587</v>
      </c>
      <c r="D7" s="7">
        <v>-3.8205</v>
      </c>
      <c r="E7" s="3">
        <f>IF(ISBLANK(D7),NA(),100*(D7-$D$7)/$D$5)</f>
        <v>0</v>
      </c>
      <c r="F7" s="16">
        <v>9486.1</v>
      </c>
      <c r="G7" s="3">
        <f>IF(ISBLANK(F7),NA(),100*(F7-$F$7)/$F$7)</f>
        <v>0</v>
      </c>
      <c r="H7" s="7">
        <v>-3.8614999999999999</v>
      </c>
      <c r="I7" s="3">
        <f>IF(ISBLANK(H7),NA(),100*(H7-$H$7)/$H$5)</f>
        <v>0</v>
      </c>
      <c r="J7" s="16">
        <v>9490</v>
      </c>
      <c r="K7" s="3">
        <f>IF(ISBLANK(J7),NA(),100*(J7-$J$7)/$J$7)</f>
        <v>0</v>
      </c>
      <c r="L7" s="7">
        <v>-3.6465000000000001</v>
      </c>
      <c r="M7" s="3">
        <f>100*(L7-$L$7)/$L$5</f>
        <v>0</v>
      </c>
      <c r="N7" s="16">
        <v>9579</v>
      </c>
      <c r="O7" s="3">
        <f>IF(ISBLANK(N7),NA(),100*(N7-$N$7)/$N$7)</f>
        <v>0</v>
      </c>
      <c r="P7" s="23">
        <f t="shared" ref="P7:P13" si="0">IF(ISBLANK(D7),NA(),AVERAGE(E7,I7,M7))</f>
        <v>0</v>
      </c>
      <c r="Q7" s="8">
        <f t="shared" ref="Q7:Q13" si="1">IF(ISBLANK(D7),NA(),_xlfn.STDEV.P(E7,I7,M7))</f>
        <v>0</v>
      </c>
      <c r="R7" s="8"/>
      <c r="S7" s="23">
        <f>AVERAGE(G7,K7,O7)</f>
        <v>0</v>
      </c>
      <c r="T7" s="9">
        <f>_xlfn.STDEV.P(G7,K7,O7)</f>
        <v>0</v>
      </c>
    </row>
    <row r="8" spans="1:20" x14ac:dyDescent="0.35">
      <c r="A8" s="52"/>
      <c r="B8" s="1">
        <f>IF(ISBLANK(C8),NA(),C8-C$7+1)</f>
        <v>7</v>
      </c>
      <c r="C8" s="4">
        <v>44593</v>
      </c>
      <c r="D8" s="7">
        <v>-3.86</v>
      </c>
      <c r="E8" s="3">
        <f t="shared" ref="E8:E17" si="2">IF(ISBLANK(D8),NA(),100*(D8-$D$7)/$D$5)</f>
        <v>-9.8749999999999671E-3</v>
      </c>
      <c r="F8" s="16">
        <v>9486.7999999999993</v>
      </c>
      <c r="G8" s="3">
        <f t="shared" ref="G8:G17" si="3">IF(ISBLANK(F8),NA(),100*(F8-$F$7)/$F$7)</f>
        <v>7.3792180137138398E-3</v>
      </c>
      <c r="H8" s="7">
        <v>-3.9039999999999999</v>
      </c>
      <c r="I8" s="3">
        <f t="shared" ref="I8:I17" si="4">IF(ISBLANK(H8),NA(),100*(H8-$H$7)/$H$5)</f>
        <v>-1.0624999999999996E-2</v>
      </c>
      <c r="J8" s="16">
        <v>9492.1</v>
      </c>
      <c r="K8" s="3">
        <f t="shared" ref="K8:K17" si="5">IF(ISBLANK(J8),NA(),100*(J8-$J$7)/$J$7)</f>
        <v>2.2128556375135552E-2</v>
      </c>
      <c r="L8" s="7">
        <v>-3.6859999999999999</v>
      </c>
      <c r="M8" s="3">
        <f t="shared" ref="M8:M17" si="6">100*(L8-$L$7)/$L$5</f>
        <v>-9.8749999999999671E-3</v>
      </c>
      <c r="N8" s="16">
        <v>9582</v>
      </c>
      <c r="O8" s="3">
        <f t="shared" ref="O8:O17" si="7">IF(ISBLANK(N8),NA(),100*(N8-$N$7)/$N$7)</f>
        <v>3.1318509238960228E-2</v>
      </c>
      <c r="P8" s="23">
        <f t="shared" si="0"/>
        <v>-1.0124999999999976E-2</v>
      </c>
      <c r="Q8" s="8">
        <f t="shared" si="1"/>
        <v>3.5355339059328715E-4</v>
      </c>
      <c r="R8" s="8"/>
      <c r="S8" s="23">
        <f t="shared" ref="S8:S14" si="8">AVERAGE(G8,K8,O8)</f>
        <v>2.0275427875936541E-2</v>
      </c>
      <c r="T8" s="9">
        <f t="shared" ref="T8:T14" si="9">_xlfn.STDEV.P(G8,K8,O8)</f>
        <v>9.8606281077051536E-3</v>
      </c>
    </row>
    <row r="9" spans="1:20" x14ac:dyDescent="0.35">
      <c r="A9" s="52"/>
      <c r="B9" s="1">
        <f t="shared" ref="B9:B17" si="10">IF(ISBLANK(C9),NA(),C9-C$7+1)</f>
        <v>29</v>
      </c>
      <c r="C9" s="4">
        <v>44615</v>
      </c>
      <c r="D9" s="7">
        <v>-3.85</v>
      </c>
      <c r="E9" s="3">
        <f t="shared" si="2"/>
        <v>-7.3750000000000204E-3</v>
      </c>
      <c r="F9" s="16">
        <v>9492.7000000000007</v>
      </c>
      <c r="G9" s="3">
        <f t="shared" si="3"/>
        <v>6.9575484129414236E-2</v>
      </c>
      <c r="H9" s="7">
        <v>-3.8969999999999998</v>
      </c>
      <c r="I9" s="3">
        <f t="shared" si="4"/>
        <v>-8.8749999999999662E-3</v>
      </c>
      <c r="J9" s="16">
        <v>9498.2999999999993</v>
      </c>
      <c r="K9" s="3">
        <f t="shared" si="5"/>
        <v>8.7460484720751033E-2</v>
      </c>
      <c r="L9" s="7">
        <v>-3.681</v>
      </c>
      <c r="M9" s="3">
        <f t="shared" si="6"/>
        <v>-8.6249999999999938E-3</v>
      </c>
      <c r="N9" s="16">
        <v>9588</v>
      </c>
      <c r="O9" s="3">
        <f t="shared" si="7"/>
        <v>9.3955527716880677E-2</v>
      </c>
      <c r="P9" s="23">
        <f t="shared" si="0"/>
        <v>-8.2916666666666607E-3</v>
      </c>
      <c r="Q9" s="8">
        <f t="shared" si="1"/>
        <v>6.5616732283429709E-4</v>
      </c>
      <c r="R9" s="8" t="s">
        <v>50</v>
      </c>
      <c r="S9" s="23">
        <f t="shared" si="8"/>
        <v>8.3663832189015311E-2</v>
      </c>
      <c r="T9" s="9">
        <f t="shared" si="9"/>
        <v>1.0308816911322106E-2</v>
      </c>
    </row>
    <row r="10" spans="1:20" x14ac:dyDescent="0.35">
      <c r="A10" s="52"/>
      <c r="B10" s="1">
        <f t="shared" si="10"/>
        <v>57</v>
      </c>
      <c r="C10" s="4">
        <v>44643</v>
      </c>
      <c r="D10" s="7">
        <v>-3.84</v>
      </c>
      <c r="E10" s="3">
        <f t="shared" si="2"/>
        <v>-4.8749999999999627E-3</v>
      </c>
      <c r="F10" s="16">
        <v>9495.9</v>
      </c>
      <c r="G10" s="3">
        <f t="shared" si="3"/>
        <v>0.10330905219214716</v>
      </c>
      <c r="H10" s="7">
        <v>-3.89</v>
      </c>
      <c r="I10" s="3">
        <f t="shared" si="4"/>
        <v>-7.125000000000048E-3</v>
      </c>
      <c r="J10" s="16">
        <v>9501.7000000000007</v>
      </c>
      <c r="K10" s="3">
        <f t="shared" si="5"/>
        <v>0.12328767123288438</v>
      </c>
      <c r="L10" s="7">
        <v>-3.673</v>
      </c>
      <c r="M10" s="3">
        <f t="shared" si="6"/>
        <v>-6.624999999999992E-3</v>
      </c>
      <c r="N10" s="16">
        <v>9591.9</v>
      </c>
      <c r="O10" s="3">
        <f t="shared" si="7"/>
        <v>0.13466958972752519</v>
      </c>
      <c r="P10" s="23">
        <f t="shared" si="0"/>
        <v>-6.2083333333333339E-3</v>
      </c>
      <c r="Q10" s="8">
        <f t="shared" si="1"/>
        <v>9.6465307523255E-4</v>
      </c>
      <c r="R10" s="8"/>
      <c r="S10" s="23">
        <f t="shared" si="8"/>
        <v>0.12042210438418559</v>
      </c>
      <c r="T10" s="9">
        <f t="shared" si="9"/>
        <v>1.2962238326519391E-2</v>
      </c>
    </row>
    <row r="11" spans="1:20" x14ac:dyDescent="0.35">
      <c r="A11" s="52"/>
      <c r="B11" s="1">
        <f t="shared" si="10"/>
        <v>84</v>
      </c>
      <c r="C11" s="4">
        <v>44670</v>
      </c>
      <c r="D11" s="7">
        <v>-3.8460000000000001</v>
      </c>
      <c r="E11" s="3">
        <f t="shared" si="2"/>
        <v>-6.3750000000000195E-3</v>
      </c>
      <c r="F11" s="16">
        <v>9499.4</v>
      </c>
      <c r="G11" s="3">
        <f t="shared" si="3"/>
        <v>0.14020514226077388</v>
      </c>
      <c r="H11" s="7">
        <v>-3.895</v>
      </c>
      <c r="I11" s="3">
        <f t="shared" si="4"/>
        <v>-8.3750000000000213E-3</v>
      </c>
      <c r="J11" s="16">
        <v>9505.2000000000007</v>
      </c>
      <c r="K11" s="3">
        <f t="shared" si="5"/>
        <v>0.16016859852477058</v>
      </c>
      <c r="L11" s="7">
        <v>-3.6789999999999998</v>
      </c>
      <c r="M11" s="3">
        <f t="shared" si="6"/>
        <v>-8.1249999999999378E-3</v>
      </c>
      <c r="N11" s="16">
        <v>9595</v>
      </c>
      <c r="O11" s="3">
        <f t="shared" si="7"/>
        <v>0.16703204927445453</v>
      </c>
      <c r="P11" s="23">
        <f t="shared" si="0"/>
        <v>-7.6249999999999929E-3</v>
      </c>
      <c r="Q11" s="8">
        <f t="shared" si="1"/>
        <v>8.8975652100259448E-4</v>
      </c>
      <c r="R11" s="8"/>
      <c r="S11" s="23">
        <f t="shared" si="8"/>
        <v>0.15580193001999967</v>
      </c>
      <c r="T11" s="9">
        <f t="shared" si="9"/>
        <v>1.1378974187892502E-2</v>
      </c>
    </row>
    <row r="12" spans="1:20" x14ac:dyDescent="0.35">
      <c r="A12" s="52"/>
      <c r="B12" s="1">
        <f t="shared" si="10"/>
        <v>192</v>
      </c>
      <c r="C12" s="4">
        <v>44778</v>
      </c>
      <c r="D12" s="7">
        <v>-3.8450000000000002</v>
      </c>
      <c r="E12" s="3">
        <f t="shared" si="2"/>
        <v>-6.1250000000000471E-3</v>
      </c>
      <c r="F12" s="16">
        <v>9510</v>
      </c>
      <c r="G12" s="3">
        <f t="shared" si="3"/>
        <v>0.25194758646861865</v>
      </c>
      <c r="H12" s="7">
        <v>-3.8929999999999998</v>
      </c>
      <c r="I12" s="3">
        <f t="shared" si="4"/>
        <v>-7.8749999999999654E-3</v>
      </c>
      <c r="J12" s="16">
        <v>9515</v>
      </c>
      <c r="K12" s="3">
        <f t="shared" si="5"/>
        <v>0.26343519494204426</v>
      </c>
      <c r="L12" s="7">
        <v>-3.677</v>
      </c>
      <c r="M12" s="3">
        <f t="shared" si="6"/>
        <v>-7.6249999999999929E-3</v>
      </c>
      <c r="N12" s="16">
        <v>9610</v>
      </c>
      <c r="O12" s="3">
        <f t="shared" si="7"/>
        <v>0.32362459546925565</v>
      </c>
      <c r="P12" s="23">
        <f t="shared" si="0"/>
        <v>-7.2083333333333348E-3</v>
      </c>
      <c r="Q12" s="8">
        <f t="shared" si="1"/>
        <v>7.7280154129127541E-4</v>
      </c>
      <c r="R12" s="8"/>
      <c r="S12" s="23">
        <f t="shared" si="8"/>
        <v>0.27966912562663948</v>
      </c>
      <c r="T12" s="9">
        <f t="shared" si="9"/>
        <v>3.1433037650679549E-2</v>
      </c>
    </row>
    <row r="13" spans="1:20" x14ac:dyDescent="0.35">
      <c r="A13" s="52"/>
      <c r="B13" s="1">
        <f t="shared" si="10"/>
        <v>366</v>
      </c>
      <c r="C13" s="4">
        <v>44952</v>
      </c>
      <c r="D13" s="7">
        <v>-3.8380000000000001</v>
      </c>
      <c r="E13" s="3">
        <f t="shared" si="2"/>
        <v>-4.3750000000000178E-3</v>
      </c>
      <c r="F13" s="16">
        <v>9520</v>
      </c>
      <c r="G13" s="3">
        <f t="shared" si="3"/>
        <v>0.35736498666469502</v>
      </c>
      <c r="H13" s="7">
        <v>-3.8839999999999999</v>
      </c>
      <c r="I13" s="3">
        <f t="shared" si="4"/>
        <v>-5.6249999999999911E-3</v>
      </c>
      <c r="J13" s="16">
        <v>9525</v>
      </c>
      <c r="K13" s="3">
        <f t="shared" si="5"/>
        <v>0.36880927291886195</v>
      </c>
      <c r="L13" s="7">
        <v>-3.6619999999999999</v>
      </c>
      <c r="M13" s="3">
        <f t="shared" si="6"/>
        <v>-3.8749999999999618E-3</v>
      </c>
      <c r="N13" s="16">
        <v>9620</v>
      </c>
      <c r="O13" s="3">
        <f t="shared" si="7"/>
        <v>0.42801962626578977</v>
      </c>
      <c r="P13" s="23">
        <f t="shared" si="0"/>
        <v>-4.6249999999999902E-3</v>
      </c>
      <c r="Q13" s="8">
        <f t="shared" si="1"/>
        <v>7.3598007219399417E-4</v>
      </c>
      <c r="R13" s="8"/>
      <c r="S13" s="23">
        <f t="shared" si="8"/>
        <v>0.38473129528311562</v>
      </c>
      <c r="T13" s="9">
        <f t="shared" si="9"/>
        <v>3.0963985762128998E-2</v>
      </c>
    </row>
    <row r="14" spans="1:20" x14ac:dyDescent="0.35">
      <c r="A14" s="52"/>
      <c r="B14" s="1">
        <f t="shared" si="10"/>
        <v>457</v>
      </c>
      <c r="C14" s="4">
        <v>45043</v>
      </c>
      <c r="D14" s="7">
        <v>-3.8439999999999999</v>
      </c>
      <c r="E14" s="3">
        <f t="shared" si="2"/>
        <v>-5.8749999999999636E-3</v>
      </c>
      <c r="F14" s="16">
        <v>9530</v>
      </c>
      <c r="G14" s="3">
        <f t="shared" si="3"/>
        <v>0.46278238686077139</v>
      </c>
      <c r="H14" s="7">
        <v>-3.89</v>
      </c>
      <c r="I14" s="3">
        <f t="shared" si="4"/>
        <v>-7.125000000000048E-3</v>
      </c>
      <c r="J14" s="16">
        <v>9535</v>
      </c>
      <c r="K14" s="3">
        <f t="shared" si="5"/>
        <v>0.47418335089567965</v>
      </c>
      <c r="L14" s="7">
        <v>-3.673</v>
      </c>
      <c r="M14" s="3">
        <f t="shared" si="6"/>
        <v>-6.624999999999992E-3</v>
      </c>
      <c r="N14" s="16">
        <v>9630</v>
      </c>
      <c r="O14" s="3">
        <f t="shared" si="7"/>
        <v>0.53241465706232383</v>
      </c>
      <c r="P14" s="23">
        <f t="shared" ref="P14" si="11">IF(ISBLANK(D14),NA(),AVERAGE(E14,I14,M14))</f>
        <v>-6.5416666666666679E-3</v>
      </c>
      <c r="Q14" s="8">
        <f t="shared" ref="Q14" si="12">IF(ISBLANK(D14),NA(),_xlfn.STDEV.P(E14,I14,M14))</f>
        <v>5.1370116691411489E-4</v>
      </c>
      <c r="R14" s="8"/>
      <c r="S14" s="23">
        <f t="shared" si="8"/>
        <v>0.48979346493959164</v>
      </c>
      <c r="T14" s="9">
        <f t="shared" si="9"/>
        <v>3.0495027012104287E-2</v>
      </c>
    </row>
    <row r="15" spans="1:20" x14ac:dyDescent="0.35">
      <c r="A15" s="52"/>
      <c r="B15" s="1">
        <f t="shared" si="10"/>
        <v>555</v>
      </c>
      <c r="C15" s="4">
        <v>45141</v>
      </c>
      <c r="D15" s="7">
        <v>-3.8519999999999999</v>
      </c>
      <c r="E15" s="3">
        <f t="shared" si="2"/>
        <v>-7.8749999999999654E-3</v>
      </c>
      <c r="F15" s="16">
        <v>9535</v>
      </c>
      <c r="G15" s="3">
        <f t="shared" si="3"/>
        <v>0.51549108695880952</v>
      </c>
      <c r="H15" s="7">
        <v>-3.8959999999999999</v>
      </c>
      <c r="I15" s="3">
        <f t="shared" si="4"/>
        <v>-8.6249999999999938E-3</v>
      </c>
      <c r="J15" s="16">
        <v>9545</v>
      </c>
      <c r="K15" s="3">
        <f t="shared" si="5"/>
        <v>0.57955742887249739</v>
      </c>
      <c r="L15" s="7">
        <v>-3.6819999999999999</v>
      </c>
      <c r="M15" s="3">
        <f t="shared" si="6"/>
        <v>-8.8749999999999662E-3</v>
      </c>
      <c r="N15" s="16">
        <v>9635</v>
      </c>
      <c r="O15" s="3">
        <f t="shared" si="7"/>
        <v>0.58461217246059083</v>
      </c>
      <c r="P15" s="23">
        <f t="shared" ref="P15:P17" si="13">IF(ISBLANK(D15),NA(),AVERAGE(E15,I15,M15))</f>
        <v>-8.458333333333309E-3</v>
      </c>
      <c r="Q15" s="8">
        <f t="shared" ref="Q15:Q17" si="14">IF(ISBLANK(D15),NA(),_xlfn.STDEV.P(E15,I15,M15))</f>
        <v>4.2491829279940277E-4</v>
      </c>
      <c r="R15" s="8"/>
      <c r="S15" s="23">
        <f t="shared" ref="S15:S17" si="15">AVERAGE(G15,K15,O15)</f>
        <v>0.55988689609729925</v>
      </c>
      <c r="T15" s="9">
        <f t="shared" ref="T15:T17" si="16">_xlfn.STDEV.P(G15,K15,O15)</f>
        <v>3.146032962299504E-2</v>
      </c>
    </row>
    <row r="16" spans="1:20" x14ac:dyDescent="0.35">
      <c r="A16" s="52"/>
      <c r="B16" s="1">
        <f>IF(ISBLANK(C16),NA(),C16-C$7+1)</f>
        <v>723</v>
      </c>
      <c r="C16" s="4">
        <v>45309</v>
      </c>
      <c r="D16" s="7">
        <v>-3.8450000000000002</v>
      </c>
      <c r="E16" s="3">
        <f t="shared" si="2"/>
        <v>-6.1250000000000471E-3</v>
      </c>
      <c r="F16" s="16">
        <v>9530</v>
      </c>
      <c r="G16" s="3">
        <f t="shared" si="3"/>
        <v>0.46278238686077139</v>
      </c>
      <c r="H16" s="7">
        <v>-3.8889999999999998</v>
      </c>
      <c r="I16" s="3">
        <f t="shared" si="4"/>
        <v>-6.8749999999999645E-3</v>
      </c>
      <c r="J16" s="16">
        <v>9540</v>
      </c>
      <c r="K16" s="3">
        <f t="shared" si="5"/>
        <v>0.52687038988408852</v>
      </c>
      <c r="L16" s="7">
        <v>-3.6709999999999998</v>
      </c>
      <c r="M16" s="3">
        <f t="shared" si="6"/>
        <v>-6.1249999999999361E-3</v>
      </c>
      <c r="N16" s="16">
        <v>9640</v>
      </c>
      <c r="O16" s="3">
        <f t="shared" si="7"/>
        <v>0.63680968785885794</v>
      </c>
      <c r="P16" s="23">
        <f t="shared" si="13"/>
        <v>-6.3749999999999822E-3</v>
      </c>
      <c r="Q16" s="8">
        <f t="shared" si="14"/>
        <v>3.5355339059326096E-4</v>
      </c>
      <c r="R16" s="8"/>
      <c r="S16" s="23">
        <f t="shared" si="15"/>
        <v>0.54215415486790597</v>
      </c>
      <c r="T16" s="9">
        <f t="shared" si="16"/>
        <v>7.1863623051954359E-2</v>
      </c>
    </row>
    <row r="17" spans="1:22" x14ac:dyDescent="0.35">
      <c r="A17" s="52"/>
      <c r="B17" s="1" t="e">
        <f t="shared" si="10"/>
        <v>#N/A</v>
      </c>
      <c r="C17" s="4"/>
      <c r="D17" s="7"/>
      <c r="E17" s="3" t="e">
        <f t="shared" si="2"/>
        <v>#N/A</v>
      </c>
      <c r="F17" s="16"/>
      <c r="G17" s="3" t="e">
        <f t="shared" si="3"/>
        <v>#N/A</v>
      </c>
      <c r="H17" s="7"/>
      <c r="I17" s="3" t="e">
        <f t="shared" si="4"/>
        <v>#N/A</v>
      </c>
      <c r="J17" s="16"/>
      <c r="K17" s="3" t="e">
        <f t="shared" si="5"/>
        <v>#N/A</v>
      </c>
      <c r="L17" s="7"/>
      <c r="M17" s="3">
        <f t="shared" si="6"/>
        <v>0.91162500000000013</v>
      </c>
      <c r="N17" s="16"/>
      <c r="O17" s="3" t="e">
        <f t="shared" si="7"/>
        <v>#N/A</v>
      </c>
      <c r="P17" s="23" t="e">
        <f t="shared" si="13"/>
        <v>#N/A</v>
      </c>
      <c r="Q17" s="8" t="e">
        <f t="shared" si="14"/>
        <v>#N/A</v>
      </c>
      <c r="R17" s="8"/>
      <c r="S17" s="23" t="e">
        <f t="shared" si="15"/>
        <v>#N/A</v>
      </c>
      <c r="T17" s="9" t="e">
        <f t="shared" si="16"/>
        <v>#N/A</v>
      </c>
    </row>
    <row r="19" spans="1:22" x14ac:dyDescent="0.35">
      <c r="B19" s="21"/>
      <c r="S19"/>
      <c r="T19"/>
      <c r="U19"/>
    </row>
    <row r="20" spans="1:22" x14ac:dyDescent="0.35">
      <c r="S20"/>
      <c r="T20"/>
      <c r="U20"/>
    </row>
    <row r="21" spans="1:22" x14ac:dyDescent="0.35">
      <c r="C21" s="21"/>
    </row>
    <row r="22" spans="1:22" x14ac:dyDescent="0.35">
      <c r="C22" s="40" t="s">
        <v>10</v>
      </c>
      <c r="D22" s="13" t="s">
        <v>9</v>
      </c>
      <c r="E22" s="13" t="s">
        <v>11</v>
      </c>
      <c r="F22" s="48" t="s">
        <v>14</v>
      </c>
      <c r="G22" s="50"/>
      <c r="H22" s="48" t="s">
        <v>55</v>
      </c>
      <c r="I22" s="49"/>
      <c r="J22" s="40" t="s">
        <v>63</v>
      </c>
      <c r="K22" s="40"/>
      <c r="L22" s="40"/>
      <c r="M22" s="40"/>
      <c r="N22" s="40"/>
      <c r="O22" s="40"/>
      <c r="P22" s="40"/>
      <c r="Q22" s="40"/>
      <c r="R22" s="40"/>
      <c r="S22" s="40"/>
      <c r="T22" s="40"/>
      <c r="U22"/>
      <c r="V22"/>
    </row>
    <row r="23" spans="1:22" ht="16.5" x14ac:dyDescent="0.35">
      <c r="C23" s="40"/>
      <c r="D23" s="13"/>
      <c r="E23" s="13"/>
      <c r="F23" s="14" t="s">
        <v>12</v>
      </c>
      <c r="G23" s="14" t="s">
        <v>13</v>
      </c>
      <c r="H23" s="14" t="s">
        <v>52</v>
      </c>
      <c r="I23" s="14" t="s">
        <v>54</v>
      </c>
      <c r="J23" s="14" t="s">
        <v>65</v>
      </c>
      <c r="K23" s="14" t="s">
        <v>67</v>
      </c>
      <c r="L23" s="14" t="s">
        <v>69</v>
      </c>
      <c r="M23" s="14" t="s">
        <v>71</v>
      </c>
      <c r="N23" s="14" t="s">
        <v>73</v>
      </c>
      <c r="O23" s="14" t="s">
        <v>89</v>
      </c>
      <c r="P23" s="14" t="s">
        <v>90</v>
      </c>
      <c r="Q23" s="14" t="s">
        <v>92</v>
      </c>
      <c r="R23" s="14" t="s">
        <v>75</v>
      </c>
      <c r="S23" s="14" t="s">
        <v>77</v>
      </c>
      <c r="T23" s="14" t="s">
        <v>79</v>
      </c>
      <c r="U23"/>
      <c r="V23"/>
    </row>
    <row r="24" spans="1:22" x14ac:dyDescent="0.35">
      <c r="B24" s="1">
        <f>IF(ISBLANK(D24),NA(),C24-$C$24)</f>
        <v>0</v>
      </c>
      <c r="C24" s="4">
        <f>C7-1</f>
        <v>44586</v>
      </c>
      <c r="D24" s="16">
        <v>25.3</v>
      </c>
      <c r="E24" s="16">
        <f>D24/0.0129</f>
        <v>1961.2403100775193</v>
      </c>
      <c r="F24" s="1">
        <v>0</v>
      </c>
      <c r="G24" s="1">
        <v>0</v>
      </c>
      <c r="H24" s="16">
        <f>IF(ISBLANK(F24),NA(),F24*62/(23*2)*$E24/1000)</f>
        <v>0</v>
      </c>
      <c r="I24" s="16">
        <f t="shared" ref="I24:I33" si="17">IF(ISBLANK(G24),NA(),G24*62/(23*2)*$E24/1000)</f>
        <v>0</v>
      </c>
      <c r="J24" s="16">
        <f>100*((H24/1000)/INDEX(Alkalis!$K$3:$K$12,MATCH($B$1,Alkalis!$A$3:$A$12,0)))</f>
        <v>0</v>
      </c>
      <c r="K24" s="16">
        <f>100*((I24/1000)/INDEX(Alkalis!$K$3:$K$12,MATCH($B$1,Alkalis!$A$3:$A$12,0)))</f>
        <v>0</v>
      </c>
      <c r="L24" s="7">
        <f>100*(H24/1000)/(3*440*0.1*0.1*0.4*1000)</f>
        <v>0</v>
      </c>
      <c r="M24" s="7">
        <f>100*(I24/1000)/(3*440*0.1*0.1*0.4*1000)</f>
        <v>0</v>
      </c>
      <c r="N24" s="23">
        <f t="shared" ref="N24:N30" si="18">L24+0.658*M24</f>
        <v>0</v>
      </c>
      <c r="O24" s="9">
        <f>100*L24/INDEX(Alkalis!G$3:G$12,MATCH($B$1,Alkalis!$A$3:$A$12,0))</f>
        <v>0</v>
      </c>
      <c r="P24" s="9">
        <f>100*M24/INDEX(Alkalis!H$3:H$12,MATCH($B$1,Alkalis!$A$3:$A$12,0))</f>
        <v>0</v>
      </c>
      <c r="Q24" s="23">
        <f>100*N24/INDEX(Alkalis!I$3:I$12,MATCH($B$1,Alkalis!$A$3:$A$12,0))</f>
        <v>0</v>
      </c>
      <c r="R24" s="9">
        <f t="shared" ref="R24:R30" si="19">440*L24/100</f>
        <v>0</v>
      </c>
      <c r="S24" s="9">
        <f t="shared" ref="S24:S30" si="20">440*M24/100</f>
        <v>0</v>
      </c>
      <c r="T24" s="23">
        <f t="shared" ref="T24:T30" si="21">440*N24/100</f>
        <v>0</v>
      </c>
      <c r="U24"/>
      <c r="V24"/>
    </row>
    <row r="25" spans="1:22" x14ac:dyDescent="0.35">
      <c r="B25" s="1">
        <f t="shared" ref="B25:B33" si="22">IF(ISBLANK(D25),NA(),C25-$C$24)</f>
        <v>29</v>
      </c>
      <c r="C25" s="4">
        <f t="shared" ref="C25:C33" si="23">C9</f>
        <v>44615</v>
      </c>
      <c r="D25" s="16">
        <v>24.7</v>
      </c>
      <c r="E25" s="16">
        <f>D25/0.0129</f>
        <v>1914.7286821705425</v>
      </c>
      <c r="F25" s="1">
        <v>3.2668645679402197</v>
      </c>
      <c r="G25" s="1">
        <v>7.2112139470784671</v>
      </c>
      <c r="H25" s="16">
        <f t="shared" ref="H25:H33" si="24">IF(ISBLANK(F25),NA(),F25*62/(23*2)*$E25/1000)</f>
        <v>8.4308668677850545</v>
      </c>
      <c r="I25" s="16">
        <f t="shared" si="17"/>
        <v>18.610133196083524</v>
      </c>
      <c r="J25" s="16">
        <f>100*((H25/1000)/INDEX(Alkalis!$K$3:$K$12,MATCH($B$1,Alkalis!$A$3:$A$12,0)))</f>
        <v>2.7721442510341213E-2</v>
      </c>
      <c r="K25" s="16">
        <f>100*((I25/1000)/INDEX(Alkalis!$K$3:$K$12,MATCH($B$1,Alkalis!$A$3:$A$12,0)))</f>
        <v>6.1191778448822599E-2</v>
      </c>
      <c r="L25" s="7">
        <f t="shared" ref="L25:L33" si="25">100*(H25/1000)/(3*440*0.1*0.1*0.4*1000)</f>
        <v>1.596755088595654E-4</v>
      </c>
      <c r="M25" s="7">
        <f t="shared" ref="M25:M33" si="26">100*(I25/1000)/(3*440*0.1*0.1*0.4*1000)</f>
        <v>3.5246464386521823E-4</v>
      </c>
      <c r="N25" s="23">
        <f t="shared" si="18"/>
        <v>3.9159724452287898E-4</v>
      </c>
      <c r="O25" s="9">
        <f>100*L25/INDEX(Alkalis!G$3:G$12,MATCH($B$1,Alkalis!$A$3:$A$12,0))</f>
        <v>2.7721442510341213E-2</v>
      </c>
      <c r="P25" s="9">
        <f>100*M25/INDEX(Alkalis!H$3:H$12,MATCH($B$1,Alkalis!$A$3:$A$12,0))</f>
        <v>2.0757635092180107E-2</v>
      </c>
      <c r="Q25" s="23">
        <f>100*N25/INDEX(Alkalis!I$3:I$12,MATCH($B$1,Alkalis!$A$3:$A$12,0))</f>
        <v>2.3126495290977708E-2</v>
      </c>
      <c r="R25" s="9">
        <f t="shared" si="19"/>
        <v>7.0257223898208775E-4</v>
      </c>
      <c r="S25" s="9">
        <f t="shared" si="20"/>
        <v>1.5508444330069602E-3</v>
      </c>
      <c r="T25" s="23">
        <f t="shared" si="21"/>
        <v>1.7230278759006676E-3</v>
      </c>
      <c r="U25"/>
      <c r="V25"/>
    </row>
    <row r="26" spans="1:22" x14ac:dyDescent="0.35">
      <c r="B26" s="1">
        <f t="shared" si="22"/>
        <v>57</v>
      </c>
      <c r="C26" s="4">
        <f t="shared" si="23"/>
        <v>44643</v>
      </c>
      <c r="D26" s="16">
        <v>27.6</v>
      </c>
      <c r="E26" s="16">
        <f t="shared" ref="E26:E33" si="27">D26/0.0129</f>
        <v>2139.5348837209303</v>
      </c>
      <c r="F26" s="1">
        <v>4.8898083062864597</v>
      </c>
      <c r="G26" s="1">
        <v>10.654637482595538</v>
      </c>
      <c r="H26" s="16">
        <f t="shared" si="24"/>
        <v>14.100842557663279</v>
      </c>
      <c r="I26" s="16">
        <f t="shared" si="17"/>
        <v>30.725001112601088</v>
      </c>
      <c r="J26" s="16">
        <f>100*((H26/1000)/INDEX(Alkalis!$K$3:$K$12,MATCH($B$1,Alkalis!$A$3:$A$12,0)))</f>
        <v>4.6364828485582633E-2</v>
      </c>
      <c r="K26" s="16">
        <f>100*((I26/1000)/INDEX(Alkalis!$K$3:$K$12,MATCH($B$1,Alkalis!$A$3:$A$12,0)))</f>
        <v>0.10102654511456059</v>
      </c>
      <c r="L26" s="7">
        <f t="shared" si="25"/>
        <v>2.6706141207695602E-4</v>
      </c>
      <c r="M26" s="7">
        <f t="shared" si="26"/>
        <v>5.8191289985986899E-4</v>
      </c>
      <c r="N26" s="23">
        <f t="shared" si="18"/>
        <v>6.4996010018474981E-4</v>
      </c>
      <c r="O26" s="9">
        <f>100*L26/INDEX(Alkalis!G$3:G$12,MATCH($B$1,Alkalis!$A$3:$A$12,0))</f>
        <v>4.636482848558264E-2</v>
      </c>
      <c r="P26" s="9">
        <f>100*M26/INDEX(Alkalis!H$3:H$12,MATCH($B$1,Alkalis!$A$3:$A$12,0))</f>
        <v>3.4270488802112427E-2</v>
      </c>
      <c r="Q26" s="23">
        <f>100*N26/INDEX(Alkalis!I$3:I$12,MATCH($B$1,Alkalis!$A$3:$A$12,0))</f>
        <v>3.838458877452039E-2</v>
      </c>
      <c r="R26" s="9">
        <f t="shared" si="19"/>
        <v>1.1750702131386064E-3</v>
      </c>
      <c r="S26" s="9">
        <f t="shared" si="20"/>
        <v>2.5604167593834236E-3</v>
      </c>
      <c r="T26" s="23">
        <f t="shared" si="21"/>
        <v>2.8598244408128992E-3</v>
      </c>
      <c r="U26"/>
      <c r="V26"/>
    </row>
    <row r="27" spans="1:22" x14ac:dyDescent="0.35">
      <c r="B27" s="1">
        <f t="shared" si="22"/>
        <v>84</v>
      </c>
      <c r="C27" s="4">
        <f t="shared" si="23"/>
        <v>44670</v>
      </c>
      <c r="D27" s="16">
        <v>25</v>
      </c>
      <c r="E27" s="16">
        <f t="shared" si="27"/>
        <v>1937.984496124031</v>
      </c>
      <c r="F27" s="1">
        <v>6.8577774523774648</v>
      </c>
      <c r="G27" s="1">
        <v>14.870286974426426</v>
      </c>
      <c r="H27" s="16">
        <f t="shared" si="24"/>
        <v>17.912967730342213</v>
      </c>
      <c r="I27" s="16">
        <f t="shared" si="17"/>
        <v>38.842171908259118</v>
      </c>
      <c r="J27" s="16">
        <f>100*((H27/1000)/INDEX(Alkalis!$K$3:$K$12,MATCH($B$1,Alkalis!$A$3:$A$12,0)))</f>
        <v>5.8899436192465696E-2</v>
      </c>
      <c r="K27" s="16">
        <f>100*((I27/1000)/INDEX(Alkalis!$K$3:$K$12,MATCH($B$1,Alkalis!$A$3:$A$12,0)))</f>
        <v>0.12771652695003125</v>
      </c>
      <c r="L27" s="7">
        <f t="shared" si="25"/>
        <v>3.3926075246860248E-4</v>
      </c>
      <c r="M27" s="7">
        <f t="shared" si="26"/>
        <v>7.3564719523218011E-4</v>
      </c>
      <c r="N27" s="23">
        <f t="shared" si="18"/>
        <v>8.2331660693137705E-4</v>
      </c>
      <c r="O27" s="9">
        <f>100*L27/INDEX(Alkalis!G$3:G$12,MATCH($B$1,Alkalis!$A$3:$A$12,0))</f>
        <v>5.8899436192465703E-2</v>
      </c>
      <c r="P27" s="9">
        <f>100*M27/INDEX(Alkalis!H$3:H$12,MATCH($B$1,Alkalis!$A$3:$A$12,0))</f>
        <v>4.3324334230399303E-2</v>
      </c>
      <c r="Q27" s="23">
        <f>100*N27/INDEX(Alkalis!I$3:I$12,MATCH($B$1,Alkalis!$A$3:$A$12,0))</f>
        <v>4.8622476024776526E-2</v>
      </c>
      <c r="R27" s="9">
        <f t="shared" si="19"/>
        <v>1.4927473108618508E-3</v>
      </c>
      <c r="S27" s="9">
        <f t="shared" si="20"/>
        <v>3.2368476590215922E-3</v>
      </c>
      <c r="T27" s="23">
        <f t="shared" si="21"/>
        <v>3.6225930704980591E-3</v>
      </c>
      <c r="U27"/>
      <c r="V27"/>
    </row>
    <row r="28" spans="1:22" x14ac:dyDescent="0.35">
      <c r="B28" s="1">
        <f t="shared" si="22"/>
        <v>192</v>
      </c>
      <c r="C28" s="4">
        <f t="shared" si="23"/>
        <v>44778</v>
      </c>
      <c r="D28" s="16">
        <v>23.2</v>
      </c>
      <c r="E28" s="16">
        <f t="shared" si="27"/>
        <v>1798.4496124031007</v>
      </c>
      <c r="F28" s="1">
        <v>19.023596609151372</v>
      </c>
      <c r="G28" s="1">
        <v>42.719919472121418</v>
      </c>
      <c r="H28" s="16">
        <f t="shared" si="24"/>
        <v>46.113146886759914</v>
      </c>
      <c r="I28" s="16">
        <f t="shared" si="17"/>
        <v>103.55296961358182</v>
      </c>
      <c r="J28" s="16">
        <f>100*((H28/1000)/INDEX(Alkalis!$K$3:$K$12,MATCH($B$1,Alkalis!$A$3:$A$12,0)))</f>
        <v>0.1516241414363686</v>
      </c>
      <c r="K28" s="16">
        <f>100*((I28/1000)/INDEX(Alkalis!$K$3:$K$12,MATCH($B$1,Alkalis!$A$3:$A$12,0)))</f>
        <v>0.34049140366418679</v>
      </c>
      <c r="L28" s="7">
        <f t="shared" si="25"/>
        <v>8.7335505467348322E-4</v>
      </c>
      <c r="M28" s="7">
        <f t="shared" si="26"/>
        <v>1.961230485105716E-3</v>
      </c>
      <c r="N28" s="23">
        <f t="shared" si="18"/>
        <v>2.1638447138730443E-3</v>
      </c>
      <c r="O28" s="9">
        <f>100*L28/INDEX(Alkalis!G$3:G$12,MATCH($B$1,Alkalis!$A$3:$A$12,0))</f>
        <v>0.1516241414363686</v>
      </c>
      <c r="P28" s="9">
        <f>100*M28/INDEX(Alkalis!H$3:H$12,MATCH($B$1,Alkalis!$A$3:$A$12,0))</f>
        <v>0.1155023842818443</v>
      </c>
      <c r="Q28" s="23">
        <f>100*N28/INDEX(Alkalis!I$3:I$12,MATCH($B$1,Alkalis!$A$3:$A$12,0))</f>
        <v>0.12778982816072462</v>
      </c>
      <c r="R28" s="9">
        <f t="shared" si="19"/>
        <v>3.8427622405633262E-3</v>
      </c>
      <c r="S28" s="9">
        <f t="shared" si="20"/>
        <v>8.629414134465151E-3</v>
      </c>
      <c r="T28" s="23">
        <f t="shared" si="21"/>
        <v>9.5209167410413957E-3</v>
      </c>
      <c r="U28"/>
      <c r="V28"/>
    </row>
    <row r="29" spans="1:22" x14ac:dyDescent="0.35">
      <c r="B29" s="1">
        <f t="shared" si="22"/>
        <v>366</v>
      </c>
      <c r="C29" s="4">
        <f t="shared" si="23"/>
        <v>44952</v>
      </c>
      <c r="D29" s="16">
        <v>25.5</v>
      </c>
      <c r="E29" s="16">
        <f t="shared" si="27"/>
        <v>1976.7441860465117</v>
      </c>
      <c r="F29" s="1">
        <v>29.74743779389123</v>
      </c>
      <c r="G29" s="1">
        <v>70.90795339893134</v>
      </c>
      <c r="H29" s="16">
        <f t="shared" si="24"/>
        <v>79.25631808584771</v>
      </c>
      <c r="I29" s="16">
        <f t="shared" si="17"/>
        <v>188.92058362607085</v>
      </c>
      <c r="J29" s="16">
        <f>100*((H29/1000)/INDEX(Alkalis!$K$3:$K$12,MATCH($B$1,Alkalis!$A$3:$A$12,0)))</f>
        <v>0.26060184555794824</v>
      </c>
      <c r="K29" s="16">
        <f>100*((I29/1000)/INDEX(Alkalis!$K$3:$K$12,MATCH($B$1,Alkalis!$A$3:$A$12,0)))</f>
        <v>0.62118773551291162</v>
      </c>
      <c r="L29" s="7">
        <f t="shared" si="25"/>
        <v>1.5010666304137821E-3</v>
      </c>
      <c r="M29" s="7">
        <f t="shared" si="26"/>
        <v>3.5780413565543712E-3</v>
      </c>
      <c r="N29" s="23">
        <f t="shared" si="18"/>
        <v>3.8554178430265586E-3</v>
      </c>
      <c r="O29" s="9">
        <f>100*L29/INDEX(Alkalis!G$3:G$12,MATCH($B$1,Alkalis!$A$3:$A$12,0))</f>
        <v>0.26060184555794824</v>
      </c>
      <c r="P29" s="9">
        <f>100*M29/INDEX(Alkalis!H$3:H$12,MATCH($B$1,Alkalis!$A$3:$A$12,0))</f>
        <v>0.21072092794784283</v>
      </c>
      <c r="Q29" s="23">
        <f>100*N29/INDEX(Alkalis!I$3:I$12,MATCH($B$1,Alkalis!$A$3:$A$12,0))</f>
        <v>0.22768878953716909</v>
      </c>
      <c r="R29" s="9">
        <f t="shared" si="19"/>
        <v>6.6046931738206419E-3</v>
      </c>
      <c r="S29" s="9">
        <f t="shared" si="20"/>
        <v>1.5743381968839235E-2</v>
      </c>
      <c r="T29" s="23">
        <f t="shared" si="21"/>
        <v>1.6963838509316858E-2</v>
      </c>
      <c r="U29"/>
      <c r="V29"/>
    </row>
    <row r="30" spans="1:22" x14ac:dyDescent="0.35">
      <c r="B30" s="1">
        <f t="shared" si="22"/>
        <v>457</v>
      </c>
      <c r="C30" s="4">
        <f t="shared" si="23"/>
        <v>45043</v>
      </c>
      <c r="D30" s="16">
        <v>25.4</v>
      </c>
      <c r="E30" s="16">
        <f t="shared" si="27"/>
        <v>1968.9922480620155</v>
      </c>
      <c r="F30" s="1">
        <f>10*3.31215766229964</f>
        <v>33.1215766229964</v>
      </c>
      <c r="G30" s="1">
        <f>10*6.56121219327395</f>
        <v>65.612121932739498</v>
      </c>
      <c r="H30" s="16">
        <f t="shared" si="24"/>
        <v>87.899998088801368</v>
      </c>
      <c r="I30" s="16">
        <f t="shared" si="17"/>
        <v>174.12532797384256</v>
      </c>
      <c r="J30" s="16">
        <f>100*((H30/1000)/INDEX(Alkalis!$K$3:$K$12,MATCH($B$1,Alkalis!$A$3:$A$12,0)))</f>
        <v>0.28902303664510121</v>
      </c>
      <c r="K30" s="16">
        <f>100*((I30/1000)/INDEX(Alkalis!$K$3:$K$12,MATCH($B$1,Alkalis!$A$3:$A$12,0)))</f>
        <v>0.57253961481298177</v>
      </c>
      <c r="L30" s="7">
        <f t="shared" si="25"/>
        <v>1.6647726910757831E-3</v>
      </c>
      <c r="M30" s="7">
        <f t="shared" si="26"/>
        <v>3.297828181322775E-3</v>
      </c>
      <c r="N30" s="23">
        <f t="shared" si="18"/>
        <v>3.8347436343861693E-3</v>
      </c>
      <c r="O30" s="9">
        <f>100*L30/INDEX(Alkalis!G$3:G$12,MATCH($B$1,Alkalis!$A$3:$A$12,0))</f>
        <v>0.28902303664510121</v>
      </c>
      <c r="P30" s="9">
        <f>100*M30/INDEX(Alkalis!H$3:H$12,MATCH($B$1,Alkalis!$A$3:$A$12,0))</f>
        <v>0.19421838523691254</v>
      </c>
      <c r="Q30" s="23">
        <f>100*N30/INDEX(Alkalis!I$3:I$12,MATCH($B$1,Alkalis!$A$3:$A$12,0))</f>
        <v>0.22646783613299182</v>
      </c>
      <c r="R30" s="9">
        <f t="shared" si="19"/>
        <v>7.324999840733446E-3</v>
      </c>
      <c r="S30" s="9">
        <f t="shared" si="20"/>
        <v>1.451044399782021E-2</v>
      </c>
      <c r="T30" s="23">
        <f t="shared" si="21"/>
        <v>1.6872871991299145E-2</v>
      </c>
      <c r="U30"/>
      <c r="V30"/>
    </row>
    <row r="31" spans="1:22" x14ac:dyDescent="0.35">
      <c r="B31" s="1">
        <f t="shared" si="22"/>
        <v>555</v>
      </c>
      <c r="C31" s="4">
        <f t="shared" si="23"/>
        <v>45141</v>
      </c>
      <c r="D31" s="16">
        <v>24</v>
      </c>
      <c r="E31" s="16">
        <f t="shared" si="27"/>
        <v>1860.4651162790697</v>
      </c>
      <c r="F31" s="1">
        <f>10*5.23515251459358</f>
        <v>52.351525145935803</v>
      </c>
      <c r="G31" s="1">
        <f>10*7.99598097831106</f>
        <v>79.9598097831106</v>
      </c>
      <c r="H31" s="16">
        <f t="shared" si="24"/>
        <v>131.27581634167925</v>
      </c>
      <c r="I31" s="16">
        <f t="shared" si="17"/>
        <v>200.50589308606095</v>
      </c>
      <c r="J31" s="16">
        <f>100*((H31/1000)/INDEX(Alkalis!$K$3:$K$12,MATCH($B$1,Alkalis!$A$3:$A$12,0)))</f>
        <v>0.43164659729350546</v>
      </c>
      <c r="K31" s="16">
        <f>100*((I31/1000)/INDEX(Alkalis!$K$3:$K$12,MATCH($B$1,Alkalis!$A$3:$A$12,0)))</f>
        <v>0.65928126672342213</v>
      </c>
      <c r="L31" s="7">
        <f t="shared" si="25"/>
        <v>2.4862844004105915E-3</v>
      </c>
      <c r="M31" s="7">
        <f t="shared" si="26"/>
        <v>3.7974600963269116E-3</v>
      </c>
      <c r="N31" s="23">
        <f t="shared" ref="N31:N33" si="28">L31+0.658*M31</f>
        <v>4.9850131437936991E-3</v>
      </c>
      <c r="O31" s="9">
        <f>100*L31/INDEX(Alkalis!G$3:G$12,MATCH($B$1,Alkalis!$A$3:$A$12,0))</f>
        <v>0.43164659729350541</v>
      </c>
      <c r="P31" s="9">
        <f>100*M31/INDEX(Alkalis!H$3:H$12,MATCH($B$1,Alkalis!$A$3:$A$12,0))</f>
        <v>0.22364311521359906</v>
      </c>
      <c r="Q31" s="23">
        <f>100*N31/INDEX(Alkalis!I$3:I$12,MATCH($B$1,Alkalis!$A$3:$A$12,0))</f>
        <v>0.29439911696996479</v>
      </c>
      <c r="R31" s="9">
        <f t="shared" ref="R31:R33" si="29">440*L31/100</f>
        <v>1.0939651361806602E-2</v>
      </c>
      <c r="S31" s="9">
        <f t="shared" ref="S31:S33" si="30">440*M31/100</f>
        <v>1.6708824423838409E-2</v>
      </c>
      <c r="T31" s="23">
        <f t="shared" ref="T31:T33" si="31">440*N31/100</f>
        <v>2.1934057832692276E-2</v>
      </c>
      <c r="U31"/>
      <c r="V31"/>
    </row>
    <row r="32" spans="1:22" x14ac:dyDescent="0.35">
      <c r="B32" s="1">
        <f t="shared" si="22"/>
        <v>723</v>
      </c>
      <c r="C32" s="4">
        <f t="shared" si="23"/>
        <v>45309</v>
      </c>
      <c r="D32" s="16">
        <v>26.3</v>
      </c>
      <c r="E32" s="16">
        <f t="shared" si="27"/>
        <v>2038.7596899224807</v>
      </c>
      <c r="F32" s="1">
        <f>10*5.37894370358066</f>
        <v>53.7894370358066</v>
      </c>
      <c r="G32" s="1">
        <f>10*8.22965897415561</f>
        <v>82.296589741556105</v>
      </c>
      <c r="H32" s="16">
        <f t="shared" si="24"/>
        <v>147.80764413647833</v>
      </c>
      <c r="I32" s="16">
        <f t="shared" si="17"/>
        <v>226.14226362079773</v>
      </c>
      <c r="J32" s="16">
        <f>100*((H32/1000)/INDEX(Alkalis!$K$3:$K$12,MATCH($B$1,Alkalis!$A$3:$A$12,0)))</f>
        <v>0.48600472214488083</v>
      </c>
      <c r="K32" s="16">
        <f>100*((I32/1000)/INDEX(Alkalis!$K$3:$K$12,MATCH($B$1,Alkalis!$A$3:$A$12,0)))</f>
        <v>0.74357594046190312</v>
      </c>
      <c r="L32" s="7">
        <f t="shared" si="25"/>
        <v>2.7993871995545135E-3</v>
      </c>
      <c r="M32" s="7">
        <f t="shared" si="26"/>
        <v>4.2829974170605625E-3</v>
      </c>
      <c r="N32" s="23">
        <f t="shared" si="28"/>
        <v>5.6175994999803636E-3</v>
      </c>
      <c r="O32" s="9">
        <f>100*L32/INDEX(Alkalis!G$3:G$12,MATCH($B$1,Alkalis!$A$3:$A$12,0))</f>
        <v>0.48600472214488072</v>
      </c>
      <c r="P32" s="9">
        <f>100*M32/INDEX(Alkalis!H$3:H$12,MATCH($B$1,Alkalis!$A$3:$A$12,0))</f>
        <v>0.25223777485633464</v>
      </c>
      <c r="Q32" s="23">
        <f>100*N32/INDEX(Alkalis!I$3:I$12,MATCH($B$1,Alkalis!$A$3:$A$12,0))</f>
        <v>0.33175766734820406</v>
      </c>
      <c r="R32" s="9">
        <f t="shared" si="29"/>
        <v>1.2317303678039859E-2</v>
      </c>
      <c r="S32" s="9">
        <f t="shared" si="30"/>
        <v>1.8845188635066474E-2</v>
      </c>
      <c r="T32" s="23">
        <f t="shared" si="31"/>
        <v>2.4717437799913599E-2</v>
      </c>
      <c r="U32"/>
      <c r="V32"/>
    </row>
    <row r="33" spans="2:22" x14ac:dyDescent="0.35">
      <c r="B33" s="1" t="e">
        <f t="shared" si="22"/>
        <v>#N/A</v>
      </c>
      <c r="C33" s="4">
        <f t="shared" si="23"/>
        <v>0</v>
      </c>
      <c r="D33" s="16"/>
      <c r="E33" s="16">
        <f t="shared" si="27"/>
        <v>0</v>
      </c>
      <c r="F33" s="1"/>
      <c r="G33" s="1"/>
      <c r="H33" s="16" t="e">
        <f t="shared" si="24"/>
        <v>#N/A</v>
      </c>
      <c r="I33" s="16" t="e">
        <f t="shared" si="17"/>
        <v>#N/A</v>
      </c>
      <c r="J33" s="16" t="e">
        <f>100*((H33/1000)/INDEX(Alkalis!$K$3:$K$12,MATCH($B$1,Alkalis!$A$3:$A$12,0)))</f>
        <v>#N/A</v>
      </c>
      <c r="K33" s="16" t="e">
        <f>100*((I33/1000)/INDEX(Alkalis!$K$3:$K$12,MATCH($B$1,Alkalis!$A$3:$A$12,0)))</f>
        <v>#N/A</v>
      </c>
      <c r="L33" s="7" t="e">
        <f t="shared" si="25"/>
        <v>#N/A</v>
      </c>
      <c r="M33" s="7" t="e">
        <f t="shared" si="26"/>
        <v>#N/A</v>
      </c>
      <c r="N33" s="23" t="e">
        <f t="shared" si="28"/>
        <v>#N/A</v>
      </c>
      <c r="O33" s="9" t="e">
        <f>100*L33/INDEX(Alkalis!G$3:G$12,MATCH($B$1,Alkalis!$A$3:$A$12,0))</f>
        <v>#N/A</v>
      </c>
      <c r="P33" s="9" t="e">
        <f>100*M33/INDEX(Alkalis!H$3:H$12,MATCH($B$1,Alkalis!$A$3:$A$12,0))</f>
        <v>#N/A</v>
      </c>
      <c r="Q33" s="23" t="e">
        <f>100*N33/INDEX(Alkalis!I$3:I$12,MATCH($B$1,Alkalis!$A$3:$A$12,0))</f>
        <v>#N/A</v>
      </c>
      <c r="R33" s="9" t="e">
        <f t="shared" si="29"/>
        <v>#N/A</v>
      </c>
      <c r="S33" s="9" t="e">
        <f t="shared" si="30"/>
        <v>#N/A</v>
      </c>
      <c r="T33" s="23" t="e">
        <f t="shared" si="31"/>
        <v>#N/A</v>
      </c>
      <c r="U33"/>
      <c r="V33"/>
    </row>
    <row r="34" spans="2:22" x14ac:dyDescent="0.35">
      <c r="U34"/>
      <c r="V34"/>
    </row>
    <row r="35" spans="2:22" x14ac:dyDescent="0.35">
      <c r="U35"/>
      <c r="V35"/>
    </row>
    <row r="36" spans="2:22" x14ac:dyDescent="0.35">
      <c r="U36"/>
      <c r="V36"/>
    </row>
  </sheetData>
  <mergeCells count="20">
    <mergeCell ref="A7:A17"/>
    <mergeCell ref="R3:R4"/>
    <mergeCell ref="B6:C6"/>
    <mergeCell ref="L5:M5"/>
    <mergeCell ref="P3:P4"/>
    <mergeCell ref="Q3:Q4"/>
    <mergeCell ref="D3:G3"/>
    <mergeCell ref="L3:O3"/>
    <mergeCell ref="H3:K3"/>
    <mergeCell ref="B1:C1"/>
    <mergeCell ref="B3:C4"/>
    <mergeCell ref="B5:C5"/>
    <mergeCell ref="D5:E5"/>
    <mergeCell ref="H5:I5"/>
    <mergeCell ref="C22:C23"/>
    <mergeCell ref="H22:I22"/>
    <mergeCell ref="F22:G22"/>
    <mergeCell ref="J22:T22"/>
    <mergeCell ref="T3:T4"/>
    <mergeCell ref="S3:S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Overview</vt:lpstr>
      <vt:lpstr>Alkalis</vt:lpstr>
      <vt:lpstr>LA-REF</vt:lpstr>
      <vt:lpstr>HA-REF</vt:lpstr>
      <vt:lpstr>LA-BA1</vt:lpstr>
      <vt:lpstr>LA-BA2</vt:lpstr>
      <vt:lpstr>LA-GB</vt:lpstr>
      <vt:lpstr>HA-CC1</vt:lpstr>
      <vt:lpstr>HA-CC2</vt:lpstr>
      <vt:lpstr>HA-CB</vt:lpstr>
      <vt:lpstr>HA-SSA</vt:lpstr>
      <vt:lpstr>HA-FA</vt:lpstr>
      <vt:lpstr>Alkali leaching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 Ranger</dc:creator>
  <cp:lastModifiedBy>Maxime Adrien Auguste Ranger</cp:lastModifiedBy>
  <cp:lastPrinted>2022-01-14T10:25:20Z</cp:lastPrinted>
  <dcterms:created xsi:type="dcterms:W3CDTF">2015-06-05T18:19:34Z</dcterms:created>
  <dcterms:modified xsi:type="dcterms:W3CDTF">2024-03-19T21:21:26Z</dcterms:modified>
</cp:coreProperties>
</file>