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ulavaldti-my.sharepoint.com/personal/maran71_ulaval_ca/Documents/Postdoc DTU/Lab work/Chloride binding isotherm/"/>
    </mc:Choice>
  </mc:AlternateContent>
  <xr:revisionPtr revIDLastSave="4659" documentId="11_4D5C2F3A1EC2BC4BD2DD630ED29D2C489D16AA1F" xr6:coauthVersionLast="47" xr6:coauthVersionMax="47" xr10:uidLastSave="{1CD5E5E4-E9E7-4549-8416-3049E6C53EBE}"/>
  <bookViews>
    <workbookView xWindow="-110" yWindow="-110" windowWidth="19420" windowHeight="10300" tabRatio="500" xr2:uid="{00000000-000D-0000-FFFF-FFFF00000000}"/>
  </bookViews>
  <sheets>
    <sheet name="Binding isotherms" sheetId="3" r:id="rId1"/>
    <sheet name="Water content" sheetId="5" r:id="rId2"/>
    <sheet name="Physically bound Cl" sheetId="6" r:id="rId3"/>
  </sheets>
  <definedNames>
    <definedName name="solver_adj" localSheetId="0" hidden="1">'Binding isotherms'!#REF!</definedName>
    <definedName name="solver_cvg" localSheetId="0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'Binding isotherms'!#REF!</definedName>
    <definedName name="solver_pre" localSheetId="0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3" l="1"/>
  <c r="H12" i="3"/>
  <c r="I12" i="3"/>
  <c r="O12" i="3"/>
  <c r="P12" i="3"/>
  <c r="D2" i="3"/>
  <c r="AG30" i="3"/>
  <c r="AG29" i="3"/>
  <c r="AG18" i="3"/>
  <c r="AG17" i="3"/>
  <c r="Y42" i="3"/>
  <c r="Y43" i="3"/>
  <c r="Y44" i="3"/>
  <c r="Y45" i="3"/>
  <c r="Y41" i="3"/>
  <c r="Y28" i="3"/>
  <c r="Y29" i="3"/>
  <c r="Y30" i="3"/>
  <c r="Y31" i="3"/>
  <c r="Y27" i="3"/>
  <c r="H4" i="6"/>
  <c r="AG28" i="3"/>
  <c r="AG16" i="3"/>
  <c r="C3" i="3"/>
  <c r="C4" i="3"/>
  <c r="G12" i="3"/>
  <c r="H4" i="3" l="1"/>
  <c r="H3" i="3"/>
  <c r="H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O19" i="3" l="1"/>
  <c r="G40" i="3" l="1"/>
  <c r="G45" i="3"/>
  <c r="H45" i="3"/>
  <c r="H42" i="3"/>
  <c r="G43" i="3"/>
  <c r="H43" i="3"/>
  <c r="G44" i="3"/>
  <c r="H44" i="3"/>
  <c r="H40" i="3"/>
  <c r="G42" i="3"/>
  <c r="H47" i="3"/>
  <c r="H41" i="3"/>
  <c r="G47" i="3"/>
  <c r="G41" i="3"/>
  <c r="H46" i="3"/>
  <c r="G46" i="3"/>
  <c r="D4" i="3"/>
  <c r="H32" i="3"/>
  <c r="G27" i="3"/>
  <c r="G33" i="3"/>
  <c r="H27" i="3"/>
  <c r="H33" i="3"/>
  <c r="D3" i="3"/>
  <c r="G28" i="3"/>
  <c r="H26" i="3"/>
  <c r="H28" i="3"/>
  <c r="G26" i="3"/>
  <c r="G29" i="3"/>
  <c r="H29" i="3"/>
  <c r="G30" i="3"/>
  <c r="H30" i="3"/>
  <c r="G31" i="3"/>
  <c r="H31" i="3"/>
  <c r="G32" i="3"/>
  <c r="G4" i="6"/>
  <c r="F4" i="6"/>
  <c r="O17" i="5"/>
  <c r="O16" i="5"/>
  <c r="O15" i="5"/>
  <c r="N17" i="5"/>
  <c r="N16" i="5"/>
  <c r="N15" i="5"/>
  <c r="O46" i="3"/>
  <c r="C46" i="3"/>
  <c r="O32" i="3"/>
  <c r="C32" i="3"/>
  <c r="I26" i="3"/>
  <c r="I40" i="3"/>
  <c r="O18" i="3"/>
  <c r="C18" i="3"/>
  <c r="O42" i="3"/>
  <c r="C42" i="3"/>
  <c r="O28" i="3"/>
  <c r="C28" i="3"/>
  <c r="O14" i="3"/>
  <c r="C14" i="3"/>
  <c r="G6" i="6" l="1"/>
  <c r="H6" i="6" s="1"/>
  <c r="F6" i="6"/>
  <c r="G5" i="6"/>
  <c r="H5" i="6" s="1"/>
  <c r="F5" i="6"/>
  <c r="N5" i="5" l="1"/>
  <c r="M5" i="5"/>
  <c r="N4" i="5" l="1"/>
  <c r="O4" i="5"/>
  <c r="P4" i="5"/>
  <c r="Q4" i="5"/>
  <c r="R4" i="5"/>
  <c r="S4" i="5"/>
  <c r="T4" i="5"/>
  <c r="U4" i="5"/>
  <c r="O5" i="5"/>
  <c r="P5" i="5"/>
  <c r="Q5" i="5"/>
  <c r="R5" i="5"/>
  <c r="S5" i="5"/>
  <c r="T5" i="5"/>
  <c r="U5" i="5"/>
  <c r="N6" i="5"/>
  <c r="O6" i="5"/>
  <c r="P6" i="5"/>
  <c r="Q6" i="5"/>
  <c r="R6" i="5"/>
  <c r="S6" i="5"/>
  <c r="T6" i="5"/>
  <c r="U6" i="5"/>
  <c r="N7" i="5"/>
  <c r="O7" i="5"/>
  <c r="P7" i="5"/>
  <c r="Q7" i="5"/>
  <c r="R7" i="5"/>
  <c r="S7" i="5"/>
  <c r="T7" i="5"/>
  <c r="U7" i="5"/>
  <c r="N8" i="5"/>
  <c r="O8" i="5"/>
  <c r="P8" i="5"/>
  <c r="Q8" i="5"/>
  <c r="R8" i="5"/>
  <c r="S8" i="5"/>
  <c r="T8" i="5"/>
  <c r="U8" i="5"/>
  <c r="N9" i="5"/>
  <c r="O9" i="5"/>
  <c r="P9" i="5"/>
  <c r="Q9" i="5"/>
  <c r="R9" i="5"/>
  <c r="S9" i="5"/>
  <c r="T9" i="5"/>
  <c r="U9" i="5"/>
  <c r="N10" i="5"/>
  <c r="O10" i="5"/>
  <c r="P10" i="5"/>
  <c r="Q10" i="5"/>
  <c r="R10" i="5"/>
  <c r="S10" i="5"/>
  <c r="T10" i="5"/>
  <c r="U10" i="5"/>
  <c r="N11" i="5"/>
  <c r="O11" i="5"/>
  <c r="P11" i="5"/>
  <c r="Q11" i="5"/>
  <c r="R11" i="5"/>
  <c r="S11" i="5"/>
  <c r="T11" i="5"/>
  <c r="U11" i="5"/>
  <c r="N12" i="5"/>
  <c r="O12" i="5"/>
  <c r="P12" i="5"/>
  <c r="Q12" i="5"/>
  <c r="R12" i="5"/>
  <c r="S12" i="5"/>
  <c r="T12" i="5"/>
  <c r="U12" i="5"/>
  <c r="M6" i="5"/>
  <c r="M7" i="5"/>
  <c r="M8" i="5"/>
  <c r="M9" i="5"/>
  <c r="M10" i="5"/>
  <c r="M11" i="5"/>
  <c r="M12" i="5"/>
  <c r="M4" i="5"/>
  <c r="B5" i="5"/>
  <c r="B6" i="5"/>
  <c r="B7" i="5"/>
  <c r="B8" i="5"/>
  <c r="B9" i="5"/>
  <c r="B10" i="5"/>
  <c r="B11" i="5"/>
  <c r="B12" i="5"/>
  <c r="B4" i="5"/>
  <c r="C47" i="3"/>
  <c r="C45" i="3"/>
  <c r="C44" i="3"/>
  <c r="C43" i="3"/>
  <c r="C41" i="3"/>
  <c r="C33" i="3"/>
  <c r="C31" i="3"/>
  <c r="C30" i="3"/>
  <c r="C29" i="3"/>
  <c r="C27" i="3"/>
  <c r="R12" i="3" l="1"/>
  <c r="C13" i="3"/>
  <c r="O26" i="3"/>
  <c r="O47" i="3"/>
  <c r="R45" i="3" s="1"/>
  <c r="W45" i="3" s="1"/>
  <c r="O45" i="3"/>
  <c r="O44" i="3"/>
  <c r="R43" i="3" s="1"/>
  <c r="W43" i="3" s="1"/>
  <c r="O43" i="3"/>
  <c r="R42" i="3" s="1"/>
  <c r="W42" i="3" s="1"/>
  <c r="O41" i="3"/>
  <c r="O40" i="3"/>
  <c r="O33" i="3"/>
  <c r="R31" i="3" s="1"/>
  <c r="W31" i="3" s="1"/>
  <c r="O31" i="3"/>
  <c r="O30" i="3"/>
  <c r="R29" i="3" s="1"/>
  <c r="W29" i="3" s="1"/>
  <c r="O29" i="3"/>
  <c r="R28" i="3" s="1"/>
  <c r="W28" i="3" s="1"/>
  <c r="O27" i="3"/>
  <c r="O13" i="3"/>
  <c r="R17" i="3"/>
  <c r="W17" i="3" s="1"/>
  <c r="C19" i="3"/>
  <c r="I19" i="3" s="1"/>
  <c r="P19" i="3" s="1"/>
  <c r="T17" i="3" s="1"/>
  <c r="Y17" i="3" s="1"/>
  <c r="C17" i="3"/>
  <c r="C16" i="3"/>
  <c r="C15" i="3"/>
  <c r="O15" i="3"/>
  <c r="R14" i="3" s="1"/>
  <c r="W14" i="3" s="1"/>
  <c r="O16" i="3"/>
  <c r="R15" i="3" s="1"/>
  <c r="W15" i="3" s="1"/>
  <c r="O17" i="3"/>
  <c r="R40" i="3" l="1"/>
  <c r="P40" i="3"/>
  <c r="R26" i="3"/>
  <c r="P26" i="3"/>
  <c r="I31" i="3"/>
  <c r="P31" i="3" s="1"/>
  <c r="I28" i="3"/>
  <c r="P28" i="3" s="1"/>
  <c r="I32" i="3"/>
  <c r="P32" i="3" s="1"/>
  <c r="I44" i="3"/>
  <c r="P44" i="3" s="1"/>
  <c r="I41" i="3"/>
  <c r="P41" i="3" s="1"/>
  <c r="I43" i="3"/>
  <c r="I46" i="3"/>
  <c r="P46" i="3" s="1"/>
  <c r="I47" i="3"/>
  <c r="P47" i="3" s="1"/>
  <c r="R44" i="3"/>
  <c r="W44" i="3" s="1"/>
  <c r="S44" i="3"/>
  <c r="R30" i="3"/>
  <c r="W30" i="3" s="1"/>
  <c r="S30" i="3"/>
  <c r="R41" i="3"/>
  <c r="W41" i="3" s="1"/>
  <c r="S41" i="3"/>
  <c r="R16" i="3"/>
  <c r="W16" i="3" s="1"/>
  <c r="S16" i="3"/>
  <c r="R13" i="3"/>
  <c r="W13" i="3" s="1"/>
  <c r="S13" i="3"/>
  <c r="R27" i="3"/>
  <c r="W27" i="3" s="1"/>
  <c r="S27" i="3"/>
  <c r="I13" i="3"/>
  <c r="P13" i="3" s="1"/>
  <c r="I15" i="3"/>
  <c r="P15" i="3" s="1"/>
  <c r="I14" i="3"/>
  <c r="P14" i="3" s="1"/>
  <c r="I18" i="3"/>
  <c r="P18" i="3" s="1"/>
  <c r="I17" i="3"/>
  <c r="P17" i="3" s="1"/>
  <c r="I16" i="3"/>
  <c r="P16" i="3" s="1"/>
  <c r="T15" i="3" s="1"/>
  <c r="Y15" i="3" s="1"/>
  <c r="I33" i="3"/>
  <c r="P33" i="3" s="1"/>
  <c r="I30" i="3"/>
  <c r="P30" i="3" s="1"/>
  <c r="I29" i="3"/>
  <c r="I27" i="3"/>
  <c r="P27" i="3" s="1"/>
  <c r="I45" i="3"/>
  <c r="P45" i="3" s="1"/>
  <c r="I42" i="3"/>
  <c r="P42" i="3" s="1"/>
  <c r="T13" i="3" l="1"/>
  <c r="P43" i="3"/>
  <c r="T42" i="3" s="1"/>
  <c r="P29" i="3"/>
  <c r="T28" i="3" s="1"/>
  <c r="T29" i="3"/>
  <c r="S48" i="3"/>
  <c r="T43" i="3"/>
  <c r="T31" i="3"/>
  <c r="T44" i="3"/>
  <c r="T45" i="3"/>
  <c r="X17" i="3"/>
  <c r="Y13" i="3" l="1"/>
  <c r="X13" i="3"/>
  <c r="X45" i="3"/>
  <c r="X44" i="3"/>
  <c r="X31" i="3"/>
  <c r="X43" i="3"/>
  <c r="X29" i="3"/>
  <c r="X28" i="3"/>
  <c r="X42" i="3"/>
  <c r="U27" i="3"/>
  <c r="T27" i="3"/>
  <c r="U41" i="3"/>
  <c r="T30" i="3"/>
  <c r="U30" i="3"/>
  <c r="U13" i="3"/>
  <c r="B5" i="6"/>
  <c r="B6" i="6"/>
  <c r="T41" i="3"/>
  <c r="U44" i="3"/>
  <c r="T14" i="3"/>
  <c r="X15" i="3"/>
  <c r="X14" i="3" l="1"/>
  <c r="Y14" i="3"/>
  <c r="X30" i="3"/>
  <c r="X27" i="3"/>
  <c r="X41" i="3"/>
  <c r="C6" i="6"/>
  <c r="J6" i="6" s="1"/>
  <c r="C5" i="6"/>
  <c r="I6" i="6"/>
  <c r="I5" i="6"/>
  <c r="U16" i="3"/>
  <c r="U48" i="3" s="1"/>
  <c r="T16" i="3"/>
  <c r="B4" i="6"/>
  <c r="K4" i="6" l="1"/>
  <c r="K6" i="6"/>
  <c r="J5" i="6"/>
  <c r="K5" i="6"/>
  <c r="X16" i="3"/>
  <c r="Y16" i="3"/>
  <c r="C4" i="6"/>
  <c r="J4" i="6" s="1"/>
  <c r="I4" i="6"/>
</calcChain>
</file>

<file path=xl/sharedStrings.xml><?xml version="1.0" encoding="utf-8"?>
<sst xmlns="http://schemas.openxmlformats.org/spreadsheetml/2006/main" count="189" uniqueCount="61">
  <si>
    <t>Conc.</t>
  </si>
  <si>
    <t>NaCl</t>
  </si>
  <si>
    <t>beaker</t>
  </si>
  <si>
    <t>sample</t>
  </si>
  <si>
    <t>ml H2O/g sample</t>
  </si>
  <si>
    <t>solution</t>
  </si>
  <si>
    <t>[g]</t>
  </si>
  <si>
    <t>est conc</t>
  </si>
  <si>
    <t>[M]</t>
  </si>
  <si>
    <t>ideal</t>
  </si>
  <si>
    <t>vol sample</t>
  </si>
  <si>
    <t>Cl-conc meas</t>
  </si>
  <si>
    <r>
      <t>V</t>
    </r>
    <r>
      <rPr>
        <vertAlign val="subscript"/>
        <sz val="16"/>
        <color rgb="FFFF0000"/>
        <rFont val="Calibri"/>
        <family val="2"/>
        <scheme val="minor"/>
      </rPr>
      <t>H</t>
    </r>
    <r>
      <rPr>
        <vertAlign val="subscript"/>
        <sz val="11"/>
        <color rgb="FFFF0000"/>
        <rFont val="Calibri"/>
        <family val="2"/>
        <scheme val="minor"/>
      </rPr>
      <t>2</t>
    </r>
    <r>
      <rPr>
        <vertAlign val="subscript"/>
        <sz val="16"/>
        <color rgb="FFFF0000"/>
        <rFont val="Calibri"/>
        <family val="2"/>
        <scheme val="minor"/>
      </rPr>
      <t>O</t>
    </r>
    <r>
      <rPr>
        <sz val="16"/>
        <color rgb="FFFF0000"/>
        <rFont val="Calibri"/>
        <family val="2"/>
        <scheme val="minor"/>
      </rPr>
      <t>+V</t>
    </r>
    <r>
      <rPr>
        <vertAlign val="subscript"/>
        <sz val="16"/>
        <color rgb="FFFF0000"/>
        <rFont val="Calibri"/>
        <family val="2"/>
        <scheme val="minor"/>
      </rPr>
      <t>Cl,added</t>
    </r>
  </si>
  <si>
    <r>
      <t>C</t>
    </r>
    <r>
      <rPr>
        <vertAlign val="subscript"/>
        <sz val="16"/>
        <color rgb="FFFF0000"/>
        <rFont val="Calibri"/>
        <family val="2"/>
        <scheme val="minor"/>
      </rPr>
      <t>Cl,free</t>
    </r>
  </si>
  <si>
    <r>
      <t>C</t>
    </r>
    <r>
      <rPr>
        <vertAlign val="subscript"/>
        <sz val="16"/>
        <color rgb="FFFF0000"/>
        <rFont val="Calibri"/>
        <family val="2"/>
        <scheme val="minor"/>
      </rPr>
      <t>Cl,eq</t>
    </r>
  </si>
  <si>
    <r>
      <t>AgNO</t>
    </r>
    <r>
      <rPr>
        <vertAlign val="sub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 xml:space="preserve"> </t>
    </r>
  </si>
  <si>
    <r>
      <t>m</t>
    </r>
    <r>
      <rPr>
        <vertAlign val="subscript"/>
        <sz val="16"/>
        <color rgb="FFFF0000"/>
        <rFont val="Calibri"/>
        <family val="2"/>
        <scheme val="minor"/>
      </rPr>
      <t>sample</t>
    </r>
  </si>
  <si>
    <r>
      <t>C</t>
    </r>
    <r>
      <rPr>
        <vertAlign val="subscript"/>
        <sz val="16"/>
        <color rgb="FFFF0000"/>
        <rFont val="Calibri"/>
        <family val="2"/>
        <scheme val="minor"/>
      </rPr>
      <t>Cl,bound</t>
    </r>
  </si>
  <si>
    <t>bound Cl</t>
  </si>
  <si>
    <r>
      <t>m</t>
    </r>
    <r>
      <rPr>
        <vertAlign val="subscript"/>
        <sz val="16"/>
        <color rgb="FFFF0000"/>
        <rFont val="Calibri"/>
        <family val="2"/>
        <scheme val="minor"/>
      </rPr>
      <t>H2O</t>
    </r>
  </si>
  <si>
    <r>
      <t>C</t>
    </r>
    <r>
      <rPr>
        <vertAlign val="subscript"/>
        <sz val="16"/>
        <color rgb="FFFF0000"/>
        <rFont val="Calibri"/>
        <family val="2"/>
        <scheme val="minor"/>
      </rPr>
      <t>Cl,added</t>
    </r>
  </si>
  <si>
    <t>Water content</t>
  </si>
  <si>
    <t>AgNO3 equilibirum</t>
  </si>
  <si>
    <t>[mL]</t>
  </si>
  <si>
    <t>actual</t>
  </si>
  <si>
    <t>PC</t>
  </si>
  <si>
    <t>PCC35</t>
  </si>
  <si>
    <t>PCC50</t>
  </si>
  <si>
    <t>Date</t>
  </si>
  <si>
    <t>PC1</t>
  </si>
  <si>
    <t>PC2</t>
  </si>
  <si>
    <t>PC3</t>
  </si>
  <si>
    <t>PCC351</t>
  </si>
  <si>
    <t>PCC352</t>
  </si>
  <si>
    <t>PCC353</t>
  </si>
  <si>
    <t>PCC501</t>
  </si>
  <si>
    <t>PCC502</t>
  </si>
  <si>
    <t>PCC503</t>
  </si>
  <si>
    <t>Days</t>
  </si>
  <si>
    <t>[wt.%]</t>
  </si>
  <si>
    <t>bound Cl - plot</t>
  </si>
  <si>
    <t>Total binding</t>
  </si>
  <si>
    <t>Friedel's salt</t>
  </si>
  <si>
    <t>Cl bound in Friedel's salt</t>
  </si>
  <si>
    <t>Physically bound Cl</t>
  </si>
  <si>
    <r>
      <t>V</t>
    </r>
    <r>
      <rPr>
        <vertAlign val="subscript"/>
        <sz val="16"/>
        <color rgb="FFFF0000"/>
        <rFont val="Calibri"/>
        <family val="2"/>
        <scheme val="minor"/>
      </rPr>
      <t>H</t>
    </r>
    <r>
      <rPr>
        <vertAlign val="subscript"/>
        <sz val="11"/>
        <color rgb="FFFF0000"/>
        <rFont val="Calibri"/>
        <family val="2"/>
        <scheme val="minor"/>
      </rPr>
      <t>2</t>
    </r>
    <r>
      <rPr>
        <vertAlign val="subscript"/>
        <sz val="16"/>
        <color rgb="FFFF0000"/>
        <rFont val="Calibri"/>
        <family val="2"/>
        <scheme val="minor"/>
      </rPr>
      <t>O</t>
    </r>
  </si>
  <si>
    <t>Difference</t>
  </si>
  <si>
    <t>Average</t>
  </si>
  <si>
    <t>Uncertainty</t>
  </si>
  <si>
    <t>Std</t>
  </si>
  <si>
    <t>alpha</t>
  </si>
  <si>
    <t>beta</t>
  </si>
  <si>
    <t>GEMS</t>
  </si>
  <si>
    <t>Experiments</t>
  </si>
  <si>
    <t>[mg/g dry paste]</t>
  </si>
  <si>
    <t>LOG(conc)</t>
  </si>
  <si>
    <t>LOG(mg/g dry paste)</t>
  </si>
  <si>
    <t>mg/g dry paste</t>
  </si>
  <si>
    <t>[mg/g binder]</t>
  </si>
  <si>
    <t>LOG(mg/g hydrate)</t>
  </si>
  <si>
    <t>mg/g hydrate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</si>
</sst>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1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vertAlign val="subscript"/>
      <sz val="16"/>
      <color rgb="FFFF0000"/>
      <name val="Calibri"/>
      <family val="2"/>
      <scheme val="minor"/>
    </font>
    <font>
      <vertAlign val="subscript"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52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12" fillId="0" borderId="0" xfId="0" applyFont="1"/>
    <xf numFmtId="2" fontId="13" fillId="0" borderId="0" xfId="0" applyNumberFormat="1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2" fontId="4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" xfId="0" applyBorder="1"/>
    <xf numFmtId="165" fontId="0" fillId="0" borderId="1" xfId="0" applyNumberFormat="1" applyBorder="1"/>
    <xf numFmtId="14" fontId="0" fillId="0" borderId="1" xfId="0" applyNumberFormat="1" applyBorder="1"/>
    <xf numFmtId="164" fontId="0" fillId="0" borderId="1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66" fontId="5" fillId="0" borderId="6" xfId="0" applyNumberFormat="1" applyFont="1" applyBorder="1" applyAlignment="1">
      <alignment horizontal="center"/>
    </xf>
    <xf numFmtId="166" fontId="4" fillId="0" borderId="6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5" fontId="4" fillId="4" borderId="0" xfId="0" applyNumberFormat="1" applyFont="1" applyFill="1" applyAlignment="1">
      <alignment horizontal="center"/>
    </xf>
    <xf numFmtId="165" fontId="4" fillId="5" borderId="0" xfId="0" applyNumberFormat="1" applyFont="1" applyFill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center"/>
    </xf>
  </cellXfs>
  <cellStyles count="4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  <cellStyle name="Normal 2" xfId="43" xr:uid="{00000000-0005-0000-0000-00002B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86770833333334"/>
          <c:y val="6.761574074074074E-2"/>
          <c:w val="0.82573506944444441"/>
          <c:h val="0.80775833333333336"/>
        </c:manualLayout>
      </c:layout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6350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228443082950065"/>
                  <c:y val="0.32063344809196326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</c:trendlineLbl>
          </c:trendline>
          <c:xVal>
            <c:numRef>
              <c:f>'Binding isotherms'!$W$13:$W$17</c:f>
              <c:numCache>
                <c:formatCode>0.00</c:formatCode>
                <c:ptCount val="5"/>
                <c:pt idx="0">
                  <c:v>-1.0665127121512947</c:v>
                </c:pt>
                <c:pt idx="1">
                  <c:v>-0.76904044425143092</c:v>
                </c:pt>
                <c:pt idx="2">
                  <c:v>-0.47005659834133073</c:v>
                </c:pt>
                <c:pt idx="3">
                  <c:v>-0.16316971351112106</c:v>
                </c:pt>
                <c:pt idx="4">
                  <c:v>0.1502650869787038</c:v>
                </c:pt>
              </c:numCache>
            </c:numRef>
          </c:xVal>
          <c:yVal>
            <c:numRef>
              <c:f>'Binding isotherms'!$X$13:$X$17</c:f>
              <c:numCache>
                <c:formatCode>0.00</c:formatCode>
                <c:ptCount val="5"/>
                <c:pt idx="0">
                  <c:v>-0.13408245789975262</c:v>
                </c:pt>
                <c:pt idx="1">
                  <c:v>2.5128641888737011E-2</c:v>
                </c:pt>
                <c:pt idx="2">
                  <c:v>0.35179837529261043</c:v>
                </c:pt>
                <c:pt idx="3">
                  <c:v>0.62694009566603015</c:v>
                </c:pt>
                <c:pt idx="4">
                  <c:v>0.88418451077078619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99-4DEA-97C0-C66D506E8217}"/>
            </c:ext>
          </c:extLst>
        </c:ser>
        <c:ser>
          <c:idx val="1"/>
          <c:order val="1"/>
          <c:spPr>
            <a:ln w="63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6350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905572759724993"/>
                  <c:y val="0.42981050865157217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</c:trendlineLbl>
          </c:trendline>
          <c:xVal>
            <c:numRef>
              <c:f>'Binding isotherms'!$W$27:$W$31</c:f>
              <c:numCache>
                <c:formatCode>0.00</c:formatCode>
                <c:ptCount val="5"/>
                <c:pt idx="0">
                  <c:v>-1.495529137505581</c:v>
                </c:pt>
                <c:pt idx="1">
                  <c:v>-1.031517051446065</c:v>
                </c:pt>
                <c:pt idx="2">
                  <c:v>-0.59125139381575598</c:v>
                </c:pt>
                <c:pt idx="3">
                  <c:v>-0.23556232319832987</c:v>
                </c:pt>
                <c:pt idx="4">
                  <c:v>9.5692282839792295E-2</c:v>
                </c:pt>
              </c:numCache>
            </c:numRef>
          </c:xVal>
          <c:yVal>
            <c:numRef>
              <c:f>'Binding isotherms'!$X$27:$X$31</c:f>
              <c:numCache>
                <c:formatCode>0.00</c:formatCode>
                <c:ptCount val="5"/>
                <c:pt idx="0">
                  <c:v>0.23215674150090723</c:v>
                </c:pt>
                <c:pt idx="1">
                  <c:v>0.43127364179462763</c:v>
                </c:pt>
                <c:pt idx="2">
                  <c:v>0.58169637211623892</c:v>
                </c:pt>
                <c:pt idx="3">
                  <c:v>0.76635246164893112</c:v>
                </c:pt>
                <c:pt idx="4">
                  <c:v>0.97184737830206847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99-4DEA-97C0-C66D506E8217}"/>
            </c:ext>
          </c:extLst>
        </c:ser>
        <c:ser>
          <c:idx val="2"/>
          <c:order val="2"/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6350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093737218600531"/>
                  <c:y val="4.6868848476725775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</c:trendlineLbl>
          </c:trendline>
          <c:xVal>
            <c:numRef>
              <c:f>'Binding isotherms'!$W$41:$W$45</c:f>
              <c:numCache>
                <c:formatCode>0.00</c:formatCode>
                <c:ptCount val="5"/>
                <c:pt idx="0">
                  <c:v>-1.5228787452803381</c:v>
                </c:pt>
                <c:pt idx="1">
                  <c:v>-1.1157712303673961</c:v>
                </c:pt>
                <c:pt idx="2">
                  <c:v>-0.61582586119296656</c:v>
                </c:pt>
                <c:pt idx="3">
                  <c:v>-0.25484710492309964</c:v>
                </c:pt>
                <c:pt idx="4">
                  <c:v>8.1491328525698889E-2</c:v>
                </c:pt>
              </c:numCache>
            </c:numRef>
          </c:xVal>
          <c:yVal>
            <c:numRef>
              <c:f>'Binding isotherms'!$X$41:$X$45</c:f>
              <c:numCache>
                <c:formatCode>0.00</c:formatCode>
                <c:ptCount val="5"/>
                <c:pt idx="0">
                  <c:v>0.27147591475393701</c:v>
                </c:pt>
                <c:pt idx="1">
                  <c:v>0.49256768296252029</c:v>
                </c:pt>
                <c:pt idx="2">
                  <c:v>0.58006894601999115</c:v>
                </c:pt>
                <c:pt idx="3">
                  <c:v>0.76728418467690152</c:v>
                </c:pt>
                <c:pt idx="4">
                  <c:v>0.94841667091382431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99-4DEA-97C0-C66D506E8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704239"/>
        <c:axId val="808708559"/>
      </c:scatterChart>
      <c:valAx>
        <c:axId val="808704239"/>
        <c:scaling>
          <c:orientation val="minMax"/>
        </c:scaling>
        <c:delete val="0"/>
        <c:axPos val="b"/>
        <c:numFmt formatCode="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808708559"/>
        <c:crossesAt val="-0.4"/>
        <c:crossBetween val="midCat"/>
      </c:valAx>
      <c:valAx>
        <c:axId val="808708559"/>
        <c:scaling>
          <c:orientation val="minMax"/>
        </c:scaling>
        <c:delete val="0"/>
        <c:axPos val="l"/>
        <c:numFmt formatCode="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808704239"/>
        <c:crossesAt val="-2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86770833333334"/>
          <c:y val="6.761574074074074E-2"/>
          <c:w val="0.82573506944444441"/>
          <c:h val="0.80775833333333336"/>
        </c:manualLayout>
      </c:layout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6350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228443082950065"/>
                  <c:y val="0.32063344809196326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</c:trendlineLbl>
          </c:trendline>
          <c:xVal>
            <c:numRef>
              <c:f>'Binding isotherms'!$W$13:$W$17</c:f>
              <c:numCache>
                <c:formatCode>0.00</c:formatCode>
                <c:ptCount val="5"/>
                <c:pt idx="0">
                  <c:v>-1.0665127121512947</c:v>
                </c:pt>
                <c:pt idx="1">
                  <c:v>-0.76904044425143092</c:v>
                </c:pt>
                <c:pt idx="2">
                  <c:v>-0.47005659834133073</c:v>
                </c:pt>
                <c:pt idx="3">
                  <c:v>-0.16316971351112106</c:v>
                </c:pt>
                <c:pt idx="4">
                  <c:v>0.1502650869787038</c:v>
                </c:pt>
              </c:numCache>
            </c:numRef>
          </c:xVal>
          <c:yVal>
            <c:numRef>
              <c:f>'Binding isotherms'!$Y$13:$Y$17</c:f>
              <c:numCache>
                <c:formatCode>0.00</c:formatCode>
                <c:ptCount val="5"/>
                <c:pt idx="0">
                  <c:v>-7.3384617546140979E-2</c:v>
                </c:pt>
                <c:pt idx="1">
                  <c:v>8.5826482242348692E-2</c:v>
                </c:pt>
                <c:pt idx="2">
                  <c:v>0.41249621564622208</c:v>
                </c:pt>
                <c:pt idx="3">
                  <c:v>0.68763793601964185</c:v>
                </c:pt>
                <c:pt idx="4">
                  <c:v>0.94488235112439778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C6-4E97-A42D-E0629BF78CE9}"/>
            </c:ext>
          </c:extLst>
        </c:ser>
        <c:ser>
          <c:idx val="1"/>
          <c:order val="1"/>
          <c:spPr>
            <a:ln w="63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6350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486858984251588"/>
                  <c:y val="0.4823604134187886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</c:trendlineLbl>
          </c:trendline>
          <c:xVal>
            <c:numRef>
              <c:f>'Binding isotherms'!$W$27:$W$31</c:f>
              <c:numCache>
                <c:formatCode>0.00</c:formatCode>
                <c:ptCount val="5"/>
                <c:pt idx="0">
                  <c:v>-1.495529137505581</c:v>
                </c:pt>
                <c:pt idx="1">
                  <c:v>-1.031517051446065</c:v>
                </c:pt>
                <c:pt idx="2">
                  <c:v>-0.59125139381575598</c:v>
                </c:pt>
                <c:pt idx="3">
                  <c:v>-0.23556232319832987</c:v>
                </c:pt>
                <c:pt idx="4">
                  <c:v>9.5692282839792295E-2</c:v>
                </c:pt>
              </c:numCache>
            </c:numRef>
          </c:xVal>
          <c:yVal>
            <c:numRef>
              <c:f>'Binding isotherms'!$Y$27:$Y$31</c:f>
              <c:numCache>
                <c:formatCode>0.00</c:formatCode>
                <c:ptCount val="5"/>
                <c:pt idx="0">
                  <c:v>0.42805639391014094</c:v>
                </c:pt>
                <c:pt idx="1">
                  <c:v>0.62717329420386136</c:v>
                </c:pt>
                <c:pt idx="2">
                  <c:v>0.77759602452547272</c:v>
                </c:pt>
                <c:pt idx="3">
                  <c:v>0.9622521140581648</c:v>
                </c:pt>
                <c:pt idx="4">
                  <c:v>1.1677470307113023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C6-4E97-A42D-E0629BF78CE9}"/>
            </c:ext>
          </c:extLst>
        </c:ser>
        <c:ser>
          <c:idx val="2"/>
          <c:order val="2"/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6350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093737218600531"/>
                  <c:y val="4.6868848476725775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</c:trendlineLbl>
          </c:trendline>
          <c:xVal>
            <c:numRef>
              <c:f>'Binding isotherms'!$W$41:$W$45</c:f>
              <c:numCache>
                <c:formatCode>0.00</c:formatCode>
                <c:ptCount val="5"/>
                <c:pt idx="0">
                  <c:v>-1.5228787452803381</c:v>
                </c:pt>
                <c:pt idx="1">
                  <c:v>-1.1157712303673961</c:v>
                </c:pt>
                <c:pt idx="2">
                  <c:v>-0.61582586119296656</c:v>
                </c:pt>
                <c:pt idx="3">
                  <c:v>-0.25484710492309964</c:v>
                </c:pt>
                <c:pt idx="4">
                  <c:v>8.1491328525698889E-2</c:v>
                </c:pt>
              </c:numCache>
            </c:numRef>
          </c:xVal>
          <c:yVal>
            <c:numRef>
              <c:f>'Binding isotherms'!$Y$41:$Y$45</c:f>
              <c:numCache>
                <c:formatCode>0.00</c:formatCode>
                <c:ptCount val="5"/>
                <c:pt idx="0">
                  <c:v>0.4755958974098618</c:v>
                </c:pt>
                <c:pt idx="1">
                  <c:v>0.6966876656184452</c:v>
                </c:pt>
                <c:pt idx="2">
                  <c:v>0.78418892867591594</c:v>
                </c:pt>
                <c:pt idx="3">
                  <c:v>0.97140416733282631</c:v>
                </c:pt>
                <c:pt idx="4">
                  <c:v>1.1525366535697492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DC6-4E97-A42D-E0629BF78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704239"/>
        <c:axId val="808708559"/>
      </c:scatterChart>
      <c:valAx>
        <c:axId val="808704239"/>
        <c:scaling>
          <c:orientation val="minMax"/>
        </c:scaling>
        <c:delete val="0"/>
        <c:axPos val="b"/>
        <c:numFmt formatCode="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808708559"/>
        <c:crossesAt val="-0.4"/>
        <c:crossBetween val="midCat"/>
      </c:valAx>
      <c:valAx>
        <c:axId val="808708559"/>
        <c:scaling>
          <c:orientation val="minMax"/>
        </c:scaling>
        <c:delete val="0"/>
        <c:axPos val="l"/>
        <c:numFmt formatCode="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808704239"/>
        <c:crossesAt val="-2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86770833333334"/>
          <c:y val="6.761574074074074E-2"/>
          <c:w val="0.82573506944444441"/>
          <c:h val="0.80775833333333336"/>
        </c:manualLayout>
      </c:layout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6350">
                <a:noFill/>
              </a:ln>
              <a:effectLst/>
            </c:spPr>
          </c:marker>
          <c:xVal>
            <c:numRef>
              <c:f>'Binding isotherms'!$R$12:$R$17</c:f>
              <c:numCache>
                <c:formatCode>0.000</c:formatCode>
                <c:ptCount val="6"/>
                <c:pt idx="0">
                  <c:v>4.599999999999993E-3</c:v>
                </c:pt>
                <c:pt idx="1">
                  <c:v>8.5799999999999987E-2</c:v>
                </c:pt>
                <c:pt idx="2">
                  <c:v>0.17020000000000002</c:v>
                </c:pt>
                <c:pt idx="3">
                  <c:v>0.33879999999999999</c:v>
                </c:pt>
                <c:pt idx="4">
                  <c:v>0.68680000000000008</c:v>
                </c:pt>
                <c:pt idx="5">
                  <c:v>1.4134000000000002</c:v>
                </c:pt>
              </c:numCache>
            </c:numRef>
          </c:xVal>
          <c:yVal>
            <c:numRef>
              <c:f>'Binding isotherms'!$T$12:$T$17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0.73437442194255775</c:v>
                </c:pt>
                <c:pt idx="2">
                  <c:v>1.0595675320270046</c:v>
                </c:pt>
                <c:pt idx="3">
                  <c:v>2.248010706478083</c:v>
                </c:pt>
                <c:pt idx="4">
                  <c:v>4.2358453496049524</c:v>
                </c:pt>
                <c:pt idx="5">
                  <c:v>7.6592194107423399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AE-4A4B-A9AC-D169F4B2FB10}"/>
            </c:ext>
          </c:extLst>
        </c:ser>
        <c:ser>
          <c:idx val="1"/>
          <c:order val="1"/>
          <c:spPr>
            <a:ln w="63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6350">
                <a:noFill/>
              </a:ln>
              <a:effectLst/>
            </c:spPr>
          </c:marker>
          <c:xVal>
            <c:numRef>
              <c:f>'Binding isotherms'!$R$26:$R$31</c:f>
              <c:numCache>
                <c:formatCode>0.000</c:formatCode>
                <c:ptCount val="6"/>
                <c:pt idx="0">
                  <c:v>6.0000000000000331E-4</c:v>
                </c:pt>
                <c:pt idx="1">
                  <c:v>3.1950000000000006E-2</c:v>
                </c:pt>
                <c:pt idx="2">
                  <c:v>9.2999999999999999E-2</c:v>
                </c:pt>
                <c:pt idx="3">
                  <c:v>0.25630000000000003</c:v>
                </c:pt>
                <c:pt idx="4">
                  <c:v>0.58135000000000003</c:v>
                </c:pt>
                <c:pt idx="5">
                  <c:v>1.2465000000000002</c:v>
                </c:pt>
              </c:numCache>
            </c:numRef>
          </c:xVal>
          <c:yVal>
            <c:numRef>
              <c:f>'Binding isotherms'!$T$26:$T$31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1.7066982434234272</c:v>
                </c:pt>
                <c:pt idx="2">
                  <c:v>2.6994397692156475</c:v>
                </c:pt>
                <c:pt idx="3">
                  <c:v>3.8167733583091672</c:v>
                </c:pt>
                <c:pt idx="4">
                  <c:v>5.8391880472681326</c:v>
                </c:pt>
                <c:pt idx="5">
                  <c:v>9.3723258260378408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AA-4D63-B462-74964D1967B0}"/>
            </c:ext>
          </c:extLst>
        </c:ser>
        <c:ser>
          <c:idx val="2"/>
          <c:order val="2"/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6350">
                <a:noFill/>
              </a:ln>
              <a:effectLst/>
            </c:spPr>
          </c:marker>
          <c:xVal>
            <c:numRef>
              <c:f>'Binding isotherms'!$R$40:$R$45</c:f>
              <c:numCache>
                <c:formatCode>0.000</c:formatCode>
                <c:ptCount val="6"/>
                <c:pt idx="0">
                  <c:v>5.9999999999998943E-4</c:v>
                </c:pt>
                <c:pt idx="1">
                  <c:v>2.9999999999999971E-2</c:v>
                </c:pt>
                <c:pt idx="2">
                  <c:v>7.6600000000000001E-2</c:v>
                </c:pt>
                <c:pt idx="3">
                  <c:v>0.24220000000000003</c:v>
                </c:pt>
                <c:pt idx="4">
                  <c:v>0.55610000000000004</c:v>
                </c:pt>
                <c:pt idx="5">
                  <c:v>1.2064000000000001</c:v>
                </c:pt>
              </c:numCache>
            </c:numRef>
          </c:xVal>
          <c:yVal>
            <c:numRef>
              <c:f>'Binding isotherms'!$T$40:$T$45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1.8684260545965103</c:v>
                </c:pt>
                <c:pt idx="2">
                  <c:v>3.1086203303523092</c:v>
                </c:pt>
                <c:pt idx="3">
                  <c:v>3.8024975772876655</c:v>
                </c:pt>
                <c:pt idx="4">
                  <c:v>5.8517287226031378</c:v>
                </c:pt>
                <c:pt idx="5">
                  <c:v>8.8800757590586628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AA-4D63-B462-74964D196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704239"/>
        <c:axId val="808708559"/>
      </c:scatterChart>
      <c:valAx>
        <c:axId val="808704239"/>
        <c:scaling>
          <c:orientation val="minMax"/>
          <c:max val="1.7000000000000002"/>
          <c:min val="0"/>
        </c:scaling>
        <c:delete val="0"/>
        <c:axPos val="b"/>
        <c:numFmt formatCode="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808708559"/>
        <c:crosses val="autoZero"/>
        <c:crossBetween val="midCat"/>
        <c:minorUnit val="0.25"/>
      </c:valAx>
      <c:valAx>
        <c:axId val="808708559"/>
        <c:scaling>
          <c:orientation val="minMax"/>
          <c:max val="12"/>
          <c:min val="0"/>
        </c:scaling>
        <c:delete val="0"/>
        <c:axPos val="l"/>
        <c:numFmt formatCode="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808704239"/>
        <c:crosses val="autoZero"/>
        <c:crossBetween val="midCat"/>
        <c:majorUnit val="2"/>
        <c:minorUnit val="1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86770833333334"/>
          <c:y val="6.761574074074074E-2"/>
          <c:w val="0.82573506944444441"/>
          <c:h val="0.80775833333333336"/>
        </c:manualLayout>
      </c:layout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6350">
                <a:noFill/>
              </a:ln>
              <a:effectLst/>
            </c:spPr>
          </c:marker>
          <c:xVal>
            <c:numRef>
              <c:f>'Binding isotherms'!$W$13:$W$17</c:f>
              <c:numCache>
                <c:formatCode>0.00</c:formatCode>
                <c:ptCount val="5"/>
                <c:pt idx="0">
                  <c:v>-1.0665127121512947</c:v>
                </c:pt>
                <c:pt idx="1">
                  <c:v>-0.76904044425143092</c:v>
                </c:pt>
                <c:pt idx="2">
                  <c:v>-0.47005659834133073</c:v>
                </c:pt>
                <c:pt idx="3">
                  <c:v>-0.16316971351112106</c:v>
                </c:pt>
                <c:pt idx="4">
                  <c:v>0.1502650869787038</c:v>
                </c:pt>
              </c:numCache>
            </c:numRef>
          </c:xVal>
          <c:yVal>
            <c:numRef>
              <c:f>'Binding isotherms'!$Y$13:$Y$17</c:f>
              <c:numCache>
                <c:formatCode>0.00</c:formatCode>
                <c:ptCount val="5"/>
                <c:pt idx="0">
                  <c:v>-7.3384617546140979E-2</c:v>
                </c:pt>
                <c:pt idx="1">
                  <c:v>8.5826482242348692E-2</c:v>
                </c:pt>
                <c:pt idx="2">
                  <c:v>0.41249621564622208</c:v>
                </c:pt>
                <c:pt idx="3">
                  <c:v>0.68763793601964185</c:v>
                </c:pt>
                <c:pt idx="4">
                  <c:v>0.94488235112439778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60-4275-9487-54CC179226F1}"/>
            </c:ext>
          </c:extLst>
        </c:ser>
        <c:ser>
          <c:idx val="1"/>
          <c:order val="1"/>
          <c:spPr>
            <a:ln w="63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6350">
                <a:noFill/>
              </a:ln>
              <a:effectLst/>
            </c:spPr>
          </c:marker>
          <c:xVal>
            <c:numRef>
              <c:f>'Binding isotherms'!$W$27:$W$31</c:f>
              <c:numCache>
                <c:formatCode>0.00</c:formatCode>
                <c:ptCount val="5"/>
                <c:pt idx="0">
                  <c:v>-1.495529137505581</c:v>
                </c:pt>
                <c:pt idx="1">
                  <c:v>-1.031517051446065</c:v>
                </c:pt>
                <c:pt idx="2">
                  <c:v>-0.59125139381575598</c:v>
                </c:pt>
                <c:pt idx="3">
                  <c:v>-0.23556232319832987</c:v>
                </c:pt>
                <c:pt idx="4">
                  <c:v>9.5692282839792295E-2</c:v>
                </c:pt>
              </c:numCache>
            </c:numRef>
          </c:xVal>
          <c:yVal>
            <c:numRef>
              <c:f>'Binding isotherms'!$Y$27:$Y$31</c:f>
              <c:numCache>
                <c:formatCode>0.00</c:formatCode>
                <c:ptCount val="5"/>
                <c:pt idx="0">
                  <c:v>0.42805639391014094</c:v>
                </c:pt>
                <c:pt idx="1">
                  <c:v>0.62717329420386136</c:v>
                </c:pt>
                <c:pt idx="2">
                  <c:v>0.77759602452547272</c:v>
                </c:pt>
                <c:pt idx="3">
                  <c:v>0.9622521140581648</c:v>
                </c:pt>
                <c:pt idx="4">
                  <c:v>1.1677470307113023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60-4275-9487-54CC179226F1}"/>
            </c:ext>
          </c:extLst>
        </c:ser>
        <c:ser>
          <c:idx val="2"/>
          <c:order val="2"/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6350">
                <a:noFill/>
              </a:ln>
              <a:effectLst/>
            </c:spPr>
          </c:marker>
          <c:xVal>
            <c:numRef>
              <c:f>'Binding isotherms'!$W$41:$W$45</c:f>
              <c:numCache>
                <c:formatCode>0.00</c:formatCode>
                <c:ptCount val="5"/>
                <c:pt idx="0">
                  <c:v>-1.5228787452803381</c:v>
                </c:pt>
                <c:pt idx="1">
                  <c:v>-1.1157712303673961</c:v>
                </c:pt>
                <c:pt idx="2">
                  <c:v>-0.61582586119296656</c:v>
                </c:pt>
                <c:pt idx="3">
                  <c:v>-0.25484710492309964</c:v>
                </c:pt>
                <c:pt idx="4">
                  <c:v>8.1491328525698889E-2</c:v>
                </c:pt>
              </c:numCache>
            </c:numRef>
          </c:xVal>
          <c:yVal>
            <c:numRef>
              <c:f>'Binding isotherms'!$Y$41:$Y$45</c:f>
              <c:numCache>
                <c:formatCode>0.00</c:formatCode>
                <c:ptCount val="5"/>
                <c:pt idx="0">
                  <c:v>0.4755958974098618</c:v>
                </c:pt>
                <c:pt idx="1">
                  <c:v>0.6966876656184452</c:v>
                </c:pt>
                <c:pt idx="2">
                  <c:v>0.78418892867591594</c:v>
                </c:pt>
                <c:pt idx="3">
                  <c:v>0.97140416733282631</c:v>
                </c:pt>
                <c:pt idx="4">
                  <c:v>1.1525366535697492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E60-4275-9487-54CC17922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8704239"/>
        <c:axId val="808708559"/>
      </c:scatterChart>
      <c:valAx>
        <c:axId val="808704239"/>
        <c:scaling>
          <c:orientation val="minMax"/>
        </c:scaling>
        <c:delete val="0"/>
        <c:axPos val="b"/>
        <c:numFmt formatCode="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808708559"/>
        <c:crossesAt val="-0.4"/>
        <c:crossBetween val="midCat"/>
      </c:valAx>
      <c:valAx>
        <c:axId val="808708559"/>
        <c:scaling>
          <c:orientation val="minMax"/>
          <c:min val="-0.2"/>
        </c:scaling>
        <c:delete val="0"/>
        <c:axPos val="l"/>
        <c:numFmt formatCode="0.0" sourceLinked="0"/>
        <c:majorTickMark val="in"/>
        <c:minorTickMark val="in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808704239"/>
        <c:crossesAt val="-2"/>
        <c:crossBetween val="midCat"/>
        <c:majorUnit val="0.2"/>
        <c:minorUnit val="5.000000000000001E-2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81597222222222"/>
          <c:y val="7.8456340948351522E-2"/>
          <c:w val="0.83167708333333334"/>
          <c:h val="0.85098804422980157"/>
        </c:manualLayout>
      </c:layout>
      <c:barChart>
        <c:barDir val="col"/>
        <c:grouping val="stacked"/>
        <c:varyColors val="0"/>
        <c:ser>
          <c:idx val="1"/>
          <c:order val="0"/>
          <c:tx>
            <c:v>Chemically bound</c:v>
          </c:tx>
          <c:spPr>
            <a:solidFill>
              <a:schemeClr val="bg1">
                <a:lumMod val="50000"/>
              </a:schemeClr>
            </a:solidFill>
            <a:ln w="63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'Physically bound Cl'!$H$4:$H$6</c:f>
                <c:numCache>
                  <c:formatCode>General</c:formatCode>
                  <c:ptCount val="3"/>
                  <c:pt idx="0">
                    <c:v>0.34628520499108739</c:v>
                  </c:pt>
                  <c:pt idx="1">
                    <c:v>0.6597112299465242</c:v>
                  </c:pt>
                  <c:pt idx="2">
                    <c:v>0.75828877005347595</c:v>
                  </c:pt>
                </c:numCache>
              </c:numRef>
            </c:plus>
            <c:minus>
              <c:numRef>
                <c:f>'Physically bound Cl'!$H$4:$H$6</c:f>
                <c:numCache>
                  <c:formatCode>General</c:formatCode>
                  <c:ptCount val="3"/>
                  <c:pt idx="0">
                    <c:v>0.34628520499108739</c:v>
                  </c:pt>
                  <c:pt idx="1">
                    <c:v>0.6597112299465242</c:v>
                  </c:pt>
                  <c:pt idx="2">
                    <c:v>0.75828877005347595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'Physically bound Cl'!$A$4:$A$6</c:f>
              <c:strCache>
                <c:ptCount val="3"/>
                <c:pt idx="0">
                  <c:v>PC</c:v>
                </c:pt>
                <c:pt idx="1">
                  <c:v>PCC35</c:v>
                </c:pt>
                <c:pt idx="2">
                  <c:v>PCC50</c:v>
                </c:pt>
              </c:strCache>
            </c:strRef>
          </c:cat>
          <c:val>
            <c:numRef>
              <c:f>'Physically bound Cl'!$G$4:$G$6</c:f>
              <c:numCache>
                <c:formatCode>0.00</c:formatCode>
                <c:ptCount val="3"/>
                <c:pt idx="0">
                  <c:v>3.4628520499108735</c:v>
                </c:pt>
                <c:pt idx="1">
                  <c:v>6.5971122994652411</c:v>
                </c:pt>
                <c:pt idx="2">
                  <c:v>7.5828877005347595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41-4337-AC7C-4C1DA08BD465}"/>
            </c:ext>
          </c:extLst>
        </c:ser>
        <c:ser>
          <c:idx val="2"/>
          <c:order val="1"/>
          <c:tx>
            <c:v>Physically bound</c:v>
          </c:tx>
          <c:spPr>
            <a:solidFill>
              <a:schemeClr val="bg1">
                <a:lumMod val="85000"/>
              </a:schemeClr>
            </a:solidFill>
            <a:ln w="63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'Physically bound Cl'!$K$4:$K$6</c:f>
                <c:numCache>
                  <c:formatCode>General</c:formatCode>
                  <c:ptCount val="3"/>
                  <c:pt idx="0">
                    <c:v>1.5308502685872822</c:v>
                  </c:pt>
                  <c:pt idx="1">
                    <c:v>1.7475819117849338</c:v>
                  </c:pt>
                  <c:pt idx="2">
                    <c:v>1.7311301849562128</c:v>
                  </c:pt>
                </c:numCache>
              </c:numRef>
            </c:plus>
            <c:minus>
              <c:numRef>
                <c:f>'Physically bound Cl'!$K$4:$K$6</c:f>
                <c:numCache>
                  <c:formatCode>General</c:formatCode>
                  <c:ptCount val="3"/>
                  <c:pt idx="0">
                    <c:v>1.5308502685872822</c:v>
                  </c:pt>
                  <c:pt idx="1">
                    <c:v>1.7475819117849338</c:v>
                  </c:pt>
                  <c:pt idx="2">
                    <c:v>1.7311301849562128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'Physically bound Cl'!$A$4:$A$6</c:f>
              <c:strCache>
                <c:ptCount val="3"/>
                <c:pt idx="0">
                  <c:v>PC</c:v>
                </c:pt>
                <c:pt idx="1">
                  <c:v>PCC35</c:v>
                </c:pt>
                <c:pt idx="2">
                  <c:v>PCC50</c:v>
                </c:pt>
              </c:strCache>
            </c:strRef>
          </c:cat>
          <c:val>
            <c:numRef>
              <c:f>'Physically bound Cl'!$J$4:$J$6</c:f>
              <c:numCache>
                <c:formatCode>0.00</c:formatCode>
                <c:ptCount val="3"/>
                <c:pt idx="0">
                  <c:v>7.5147241705355867</c:v>
                </c:pt>
                <c:pt idx="1">
                  <c:v>6.3859020510536784</c:v>
                </c:pt>
                <c:pt idx="2">
                  <c:v>4.4118746310137302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41-4337-AC7C-4C1DA08BD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374157567"/>
        <c:axId val="374158047"/>
      </c:barChart>
      <c:catAx>
        <c:axId val="374157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74158047"/>
        <c:crosses val="autoZero"/>
        <c:auto val="1"/>
        <c:lblAlgn val="ctr"/>
        <c:lblOffset val="100"/>
        <c:noMultiLvlLbl val="0"/>
      </c:catAx>
      <c:valAx>
        <c:axId val="374158047"/>
        <c:scaling>
          <c:orientation val="minMax"/>
          <c:max val="16"/>
          <c:min val="0"/>
        </c:scaling>
        <c:delete val="0"/>
        <c:axPos val="l"/>
        <c:numFmt formatCode="0" sourceLinked="0"/>
        <c:majorTickMark val="in"/>
        <c:minorTickMark val="in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74157567"/>
        <c:crosses val="autoZero"/>
        <c:crossBetween val="between"/>
        <c:minorUnit val="1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3067357437398905"/>
          <c:y val="9.1013981694178445E-2"/>
          <c:w val="0.33990113137997879"/>
          <c:h val="0.11451667862212393"/>
        </c:manualLayout>
      </c:layout>
      <c:overlay val="0"/>
      <c:spPr>
        <a:noFill/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693163</xdr:colOff>
      <xdr:row>13</xdr:row>
      <xdr:rowOff>0</xdr:rowOff>
    </xdr:from>
    <xdr:to>
      <xdr:col>29</xdr:col>
      <xdr:colOff>259751</xdr:colOff>
      <xdr:row>23</xdr:row>
      <xdr:rowOff>158038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FD98CE2D-EBBC-4B4F-96F6-5CFA3B954A9A}"/>
            </a:ext>
          </a:extLst>
        </xdr:cNvPr>
        <xdr:cNvGrpSpPr/>
      </xdr:nvGrpSpPr>
      <xdr:grpSpPr>
        <a:xfrm>
          <a:off x="32685618" y="3521364"/>
          <a:ext cx="2891678" cy="2859674"/>
          <a:chOff x="27409026" y="595308"/>
          <a:chExt cx="2874359" cy="3220208"/>
        </a:xfrm>
      </xdr:grpSpPr>
      <xdr:graphicFrame macro="">
        <xdr:nvGraphicFramePr>
          <xdr:cNvPr id="9" name="Chart 8">
            <a:extLst>
              <a:ext uri="{FF2B5EF4-FFF2-40B4-BE49-F238E27FC236}">
                <a16:creationId xmlns:a16="http://schemas.microsoft.com/office/drawing/2014/main" id="{9B4147ED-58C7-BED3-0371-F9B295AFC61B}"/>
              </a:ext>
            </a:extLst>
          </xdr:cNvPr>
          <xdr:cNvGraphicFramePr/>
        </xdr:nvGraphicFramePr>
        <xdr:xfrm>
          <a:off x="27409026" y="595308"/>
          <a:ext cx="2874359" cy="32202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E66903C8-5C99-0961-6215-C97B2C7E787E}"/>
              </a:ext>
            </a:extLst>
          </xdr:cNvPr>
          <xdr:cNvSpPr txBox="1"/>
        </xdr:nvSpPr>
        <xdr:spPr>
          <a:xfrm>
            <a:off x="28523034" y="3662236"/>
            <a:ext cx="1623598" cy="1389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Equilibrium Cl concentration [mol/L]</a:t>
            </a:r>
          </a:p>
        </xdr:txBody>
      </xdr:sp>
    </xdr:grpSp>
    <xdr:clientData/>
  </xdr:twoCellAnchor>
  <xdr:twoCellAnchor>
    <xdr:from>
      <xdr:col>25</xdr:col>
      <xdr:colOff>638735</xdr:colOff>
      <xdr:row>24</xdr:row>
      <xdr:rowOff>179294</xdr:rowOff>
    </xdr:from>
    <xdr:to>
      <xdr:col>29</xdr:col>
      <xdr:colOff>205323</xdr:colOff>
      <xdr:row>35</xdr:row>
      <xdr:rowOff>90803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FE504B2E-0BE8-400E-A6FD-AF4CF69061BE}"/>
            </a:ext>
          </a:extLst>
        </xdr:cNvPr>
        <xdr:cNvGrpSpPr/>
      </xdr:nvGrpSpPr>
      <xdr:grpSpPr>
        <a:xfrm>
          <a:off x="32631190" y="6714021"/>
          <a:ext cx="2891678" cy="2855600"/>
          <a:chOff x="27409026" y="595308"/>
          <a:chExt cx="2874359" cy="3220208"/>
        </a:xfrm>
      </xdr:grpSpPr>
      <xdr:graphicFrame macro="">
        <xdr:nvGraphicFramePr>
          <xdr:cNvPr id="31" name="Chart 30">
            <a:extLst>
              <a:ext uri="{FF2B5EF4-FFF2-40B4-BE49-F238E27FC236}">
                <a16:creationId xmlns:a16="http://schemas.microsoft.com/office/drawing/2014/main" id="{682FD5B6-7EA6-198F-BA66-4C846547561E}"/>
              </a:ext>
            </a:extLst>
          </xdr:cNvPr>
          <xdr:cNvGraphicFramePr/>
        </xdr:nvGraphicFramePr>
        <xdr:xfrm>
          <a:off x="27409026" y="595308"/>
          <a:ext cx="2874359" cy="32202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AF3A1986-F636-914C-070C-5F146AFB1C47}"/>
              </a:ext>
            </a:extLst>
          </xdr:cNvPr>
          <xdr:cNvSpPr txBox="1"/>
        </xdr:nvSpPr>
        <xdr:spPr>
          <a:xfrm>
            <a:off x="28523034" y="3662236"/>
            <a:ext cx="1623598" cy="1389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Equilibrium Cl concentration [mol/L]</a:t>
            </a:r>
          </a:p>
        </xdr:txBody>
      </xdr:sp>
    </xdr:grpSp>
    <xdr:clientData/>
  </xdr:twoCellAnchor>
  <xdr:twoCellAnchor>
    <xdr:from>
      <xdr:col>25</xdr:col>
      <xdr:colOff>674870</xdr:colOff>
      <xdr:row>0</xdr:row>
      <xdr:rowOff>238855</xdr:rowOff>
    </xdr:from>
    <xdr:to>
      <xdr:col>29</xdr:col>
      <xdr:colOff>241458</xdr:colOff>
      <xdr:row>11</xdr:row>
      <xdr:rowOff>93533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CE50B234-94AF-4C22-B95D-79218B2BF509}"/>
            </a:ext>
          </a:extLst>
        </xdr:cNvPr>
        <xdr:cNvGrpSpPr/>
      </xdr:nvGrpSpPr>
      <xdr:grpSpPr>
        <a:xfrm>
          <a:off x="32667325" y="238855"/>
          <a:ext cx="2891678" cy="2844951"/>
          <a:chOff x="27409026" y="595308"/>
          <a:chExt cx="2874359" cy="3220208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08254D9B-9DB4-C34A-FA33-F0174EDBD72B}"/>
              </a:ext>
            </a:extLst>
          </xdr:cNvPr>
          <xdr:cNvGraphicFramePr/>
        </xdr:nvGraphicFramePr>
        <xdr:xfrm>
          <a:off x="27409026" y="595308"/>
          <a:ext cx="2874359" cy="32202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F411B004-7145-34CF-AA1A-EDDCF1F7E003}"/>
              </a:ext>
            </a:extLst>
          </xdr:cNvPr>
          <xdr:cNvSpPr txBox="1"/>
        </xdr:nvSpPr>
        <xdr:spPr>
          <a:xfrm>
            <a:off x="27747022" y="633922"/>
            <a:ext cx="1721118" cy="14536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Bound Cl [mg/g dry paste]</a:t>
            </a:r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8130F3EA-8214-4F9F-9BD2-C549ED0C2264}"/>
              </a:ext>
            </a:extLst>
          </xdr:cNvPr>
          <xdr:cNvSpPr txBox="1"/>
        </xdr:nvSpPr>
        <xdr:spPr>
          <a:xfrm>
            <a:off x="28523034" y="3662236"/>
            <a:ext cx="1623598" cy="1389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Equilibrium Cl concentration [mol/L]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6F3C74B2-4ED0-41E1-BA56-BD5FFF4E9E7F}"/>
              </a:ext>
            </a:extLst>
          </xdr:cNvPr>
          <xdr:cNvSpPr txBox="1"/>
        </xdr:nvSpPr>
        <xdr:spPr>
          <a:xfrm>
            <a:off x="29816187" y="1649938"/>
            <a:ext cx="200620" cy="1298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PC</a:t>
            </a: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58CB1659-98B8-4527-BA28-A4A94481B8E5}"/>
              </a:ext>
            </a:extLst>
          </xdr:cNvPr>
          <xdr:cNvSpPr txBox="1"/>
        </xdr:nvSpPr>
        <xdr:spPr>
          <a:xfrm>
            <a:off x="29557048" y="1280125"/>
            <a:ext cx="393647" cy="12786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PCC35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FBF69D7E-94DB-4430-A9E7-79223B374216}"/>
              </a:ext>
            </a:extLst>
          </xdr:cNvPr>
          <xdr:cNvSpPr txBox="1"/>
        </xdr:nvSpPr>
        <xdr:spPr>
          <a:xfrm>
            <a:off x="29514127" y="1456611"/>
            <a:ext cx="392069" cy="12786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PCC50</a:t>
            </a:r>
          </a:p>
        </xdr:txBody>
      </xdr:sp>
      <xdr:grpSp>
        <xdr:nvGrpSpPr>
          <xdr:cNvPr id="16" name="Group 15">
            <a:extLst>
              <a:ext uri="{FF2B5EF4-FFF2-40B4-BE49-F238E27FC236}">
                <a16:creationId xmlns:a16="http://schemas.microsoft.com/office/drawing/2014/main" id="{5D639567-94A8-9D36-7A9E-44A54E46B0B4}"/>
              </a:ext>
            </a:extLst>
          </xdr:cNvPr>
          <xdr:cNvGrpSpPr/>
        </xdr:nvGrpSpPr>
        <xdr:grpSpPr>
          <a:xfrm>
            <a:off x="27790133" y="853591"/>
            <a:ext cx="1438690" cy="284531"/>
            <a:chOff x="27821050" y="845176"/>
            <a:chExt cx="1440824" cy="281726"/>
          </a:xfrm>
        </xdr:grpSpPr>
        <xdr:grpSp>
          <xdr:nvGrpSpPr>
            <xdr:cNvPr id="13" name="Group 12">
              <a:extLst>
                <a:ext uri="{FF2B5EF4-FFF2-40B4-BE49-F238E27FC236}">
                  <a16:creationId xmlns:a16="http://schemas.microsoft.com/office/drawing/2014/main" id="{64E8DDE0-5B4E-E80C-6550-CA0B88035DB2}"/>
                </a:ext>
              </a:extLst>
            </xdr:cNvPr>
            <xdr:cNvGrpSpPr/>
          </xdr:nvGrpSpPr>
          <xdr:grpSpPr>
            <a:xfrm>
              <a:off x="27877778" y="887292"/>
              <a:ext cx="54000" cy="194792"/>
              <a:chOff x="28202433" y="1024129"/>
              <a:chExt cx="54000" cy="194792"/>
            </a:xfrm>
          </xdr:grpSpPr>
          <xdr:cxnSp macro="">
            <xdr:nvCxnSpPr>
              <xdr:cNvPr id="10" name="Straight Connector 9">
                <a:extLst>
                  <a:ext uri="{FF2B5EF4-FFF2-40B4-BE49-F238E27FC236}">
                    <a16:creationId xmlns:a16="http://schemas.microsoft.com/office/drawing/2014/main" id="{2FBA9362-9F2C-5D1B-B4D1-8F88ECE96C07}"/>
                  </a:ext>
                </a:extLst>
              </xdr:cNvPr>
              <xdr:cNvCxnSpPr/>
            </xdr:nvCxnSpPr>
            <xdr:spPr>
              <a:xfrm>
                <a:off x="28229428" y="1024129"/>
                <a:ext cx="0" cy="194190"/>
              </a:xfrm>
              <a:prstGeom prst="line">
                <a:avLst/>
              </a:prstGeom>
              <a:ln w="6350">
                <a:solidFill>
                  <a:schemeClr val="tx1"/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1" name="Straight Connector 10">
                <a:extLst>
                  <a:ext uri="{FF2B5EF4-FFF2-40B4-BE49-F238E27FC236}">
                    <a16:creationId xmlns:a16="http://schemas.microsoft.com/office/drawing/2014/main" id="{21F2856D-0DA5-4E77-8278-541C686A54E8}"/>
                  </a:ext>
                </a:extLst>
              </xdr:cNvPr>
              <xdr:cNvCxnSpPr/>
            </xdr:nvCxnSpPr>
            <xdr:spPr>
              <a:xfrm>
                <a:off x="28202433" y="1026274"/>
                <a:ext cx="54000" cy="0"/>
              </a:xfrm>
              <a:prstGeom prst="line">
                <a:avLst/>
              </a:prstGeom>
              <a:ln w="6350">
                <a:solidFill>
                  <a:schemeClr val="tx1"/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2" name="Straight Connector 11">
                <a:extLst>
                  <a:ext uri="{FF2B5EF4-FFF2-40B4-BE49-F238E27FC236}">
                    <a16:creationId xmlns:a16="http://schemas.microsoft.com/office/drawing/2014/main" id="{B7DB0D92-D3B8-4328-B949-873B35EC6C4F}"/>
                  </a:ext>
                </a:extLst>
              </xdr:cNvPr>
              <xdr:cNvCxnSpPr/>
            </xdr:nvCxnSpPr>
            <xdr:spPr>
              <a:xfrm>
                <a:off x="28202433" y="1218921"/>
                <a:ext cx="54000" cy="0"/>
              </a:xfrm>
              <a:prstGeom prst="line">
                <a:avLst/>
              </a:prstGeom>
              <a:ln w="6350">
                <a:solidFill>
                  <a:schemeClr val="tx1"/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8589470E-A95D-44E5-A3BF-EB574ADEF115}"/>
                </a:ext>
              </a:extLst>
            </xdr:cNvPr>
            <xdr:cNvSpPr txBox="1"/>
          </xdr:nvSpPr>
          <xdr:spPr>
            <a:xfrm>
              <a:off x="27990084" y="917621"/>
              <a:ext cx="1244958" cy="12708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r>
                <a:rPr lang="da-DK" sz="800">
                  <a:latin typeface="Arial" panose="020B0604020202020204" pitchFamily="34" charset="0"/>
                  <a:cs typeface="Arial" panose="020B0604020202020204" pitchFamily="34" charset="0"/>
                </a:rPr>
                <a:t>Representative uncertainty</a:t>
              </a:r>
            </a:p>
          </xdr:txBody>
        </xdr:sp>
        <xdr:sp macro="" textlink="">
          <xdr:nvSpPr>
            <xdr:cNvPr id="15" name="Rectangle 14">
              <a:extLst>
                <a:ext uri="{FF2B5EF4-FFF2-40B4-BE49-F238E27FC236}">
                  <a16:creationId xmlns:a16="http://schemas.microsoft.com/office/drawing/2014/main" id="{AB8E8BE5-6944-594D-B12C-4B89887BF6B2}"/>
                </a:ext>
              </a:extLst>
            </xdr:cNvPr>
            <xdr:cNvSpPr/>
          </xdr:nvSpPr>
          <xdr:spPr>
            <a:xfrm>
              <a:off x="27821050" y="845176"/>
              <a:ext cx="1440824" cy="281726"/>
            </a:xfrm>
            <a:prstGeom prst="rect">
              <a:avLst/>
            </a:prstGeom>
            <a:noFill/>
            <a:ln w="6350">
              <a:solidFill>
                <a:schemeClr val="tx1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l"/>
              <a:endParaRPr lang="da-DK" sz="1100"/>
            </a:p>
          </xdr:txBody>
        </xdr:sp>
      </xdr:grpSp>
    </xdr:grpSp>
    <xdr:clientData/>
  </xdr:twoCellAnchor>
  <xdr:twoCellAnchor>
    <xdr:from>
      <xdr:col>29</xdr:col>
      <xdr:colOff>303696</xdr:colOff>
      <xdr:row>0</xdr:row>
      <xdr:rowOff>227772</xdr:rowOff>
    </xdr:from>
    <xdr:to>
      <xdr:col>32</xdr:col>
      <xdr:colOff>698544</xdr:colOff>
      <xdr:row>11</xdr:row>
      <xdr:rowOff>89959</xdr:rowOff>
    </xdr:to>
    <xdr:grpSp>
      <xdr:nvGrpSpPr>
        <xdr:cNvPr id="26" name="Group 25">
          <a:extLst>
            <a:ext uri="{FF2B5EF4-FFF2-40B4-BE49-F238E27FC236}">
              <a16:creationId xmlns:a16="http://schemas.microsoft.com/office/drawing/2014/main" id="{1E55C4B5-2BCE-1D3E-3D74-EC47E20CEDC8}"/>
            </a:ext>
          </a:extLst>
        </xdr:cNvPr>
        <xdr:cNvGrpSpPr/>
      </xdr:nvGrpSpPr>
      <xdr:grpSpPr>
        <a:xfrm>
          <a:off x="35621241" y="227772"/>
          <a:ext cx="2888667" cy="2852460"/>
          <a:chOff x="35599113" y="227772"/>
          <a:chExt cx="2871348" cy="2857270"/>
        </a:xfrm>
      </xdr:grpSpPr>
      <xdr:grpSp>
        <xdr:nvGrpSpPr>
          <xdr:cNvPr id="18" name="Group 17">
            <a:extLst>
              <a:ext uri="{FF2B5EF4-FFF2-40B4-BE49-F238E27FC236}">
                <a16:creationId xmlns:a16="http://schemas.microsoft.com/office/drawing/2014/main" id="{35F79D63-B90D-4FA3-8BCF-5623AAE169A1}"/>
              </a:ext>
            </a:extLst>
          </xdr:cNvPr>
          <xdr:cNvGrpSpPr/>
        </xdr:nvGrpSpPr>
        <xdr:grpSpPr>
          <a:xfrm>
            <a:off x="35599113" y="227772"/>
            <a:ext cx="2871348" cy="2857270"/>
            <a:chOff x="27409026" y="595308"/>
            <a:chExt cx="2874359" cy="3226866"/>
          </a:xfrm>
        </xdr:grpSpPr>
        <xdr:graphicFrame macro="">
          <xdr:nvGraphicFramePr>
            <xdr:cNvPr id="20" name="Chart 19">
              <a:extLst>
                <a:ext uri="{FF2B5EF4-FFF2-40B4-BE49-F238E27FC236}">
                  <a16:creationId xmlns:a16="http://schemas.microsoft.com/office/drawing/2014/main" id="{2E6F3580-9EAD-F547-2328-68795C4FB113}"/>
                </a:ext>
              </a:extLst>
            </xdr:cNvPr>
            <xdr:cNvGraphicFramePr/>
          </xdr:nvGraphicFramePr>
          <xdr:xfrm>
            <a:off x="27409026" y="595308"/>
            <a:ext cx="2874359" cy="322020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B0255999-AFE4-D78D-1389-DC90E6015E42}"/>
                </a:ext>
              </a:extLst>
            </xdr:cNvPr>
            <xdr:cNvSpPr txBox="1"/>
          </xdr:nvSpPr>
          <xdr:spPr>
            <a:xfrm>
              <a:off x="29843671" y="3662236"/>
              <a:ext cx="302960" cy="15993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r>
                <a:rPr lang="da-DK" sz="800">
                  <a:latin typeface="Arial" panose="020B0604020202020204" pitchFamily="34" charset="0"/>
                  <a:cs typeface="Arial" panose="020B0604020202020204" pitchFamily="34" charset="0"/>
                </a:rPr>
                <a:t>log(c</a:t>
              </a:r>
              <a:r>
                <a:rPr lang="da-DK" sz="800" baseline="-25000">
                  <a:latin typeface="Arial" panose="020B0604020202020204" pitchFamily="34" charset="0"/>
                  <a:cs typeface="Arial" panose="020B0604020202020204" pitchFamily="34" charset="0"/>
                </a:rPr>
                <a:t>f</a:t>
              </a:r>
              <a:r>
                <a:rPr lang="da-DK" sz="800">
                  <a:latin typeface="Arial" panose="020B0604020202020204" pitchFamily="34" charset="0"/>
                  <a:cs typeface="Arial" panose="020B0604020202020204" pitchFamily="34" charset="0"/>
                </a:rPr>
                <a:t>)</a:t>
              </a:r>
            </a:p>
          </xdr:txBody>
        </xdr:sp>
      </xdr:grpSp>
      <xdr:sp macro="" textlink="">
        <xdr:nvSpPr>
          <xdr:cNvPr id="22" name="TextBox 21">
            <a:extLst>
              <a:ext uri="{FF2B5EF4-FFF2-40B4-BE49-F238E27FC236}">
                <a16:creationId xmlns:a16="http://schemas.microsoft.com/office/drawing/2014/main" id="{F9908A5A-B5CF-4C32-BDBD-502C189659A7}"/>
              </a:ext>
            </a:extLst>
          </xdr:cNvPr>
          <xdr:cNvSpPr txBox="1"/>
        </xdr:nvSpPr>
        <xdr:spPr>
          <a:xfrm>
            <a:off x="35941000" y="248708"/>
            <a:ext cx="302643" cy="1416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log(c</a:t>
            </a:r>
            <a:r>
              <a:rPr lang="da-DK" sz="800" baseline="-25000">
                <a:latin typeface="Arial" panose="020B0604020202020204" pitchFamily="34" charset="0"/>
                <a:cs typeface="Arial" panose="020B0604020202020204" pitchFamily="34" charset="0"/>
              </a:rPr>
              <a:t>b</a:t>
            </a:r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</a:p>
        </xdr:txBody>
      </xdr:sp>
      <xdr:sp macro="" textlink="">
        <xdr:nvSpPr>
          <xdr:cNvPr id="23" name="TextBox 22">
            <a:extLst>
              <a:ext uri="{FF2B5EF4-FFF2-40B4-BE49-F238E27FC236}">
                <a16:creationId xmlns:a16="http://schemas.microsoft.com/office/drawing/2014/main" id="{B3A8E1CC-7DCB-4441-BCE9-9D682BAC0C1A}"/>
              </a:ext>
            </a:extLst>
          </xdr:cNvPr>
          <xdr:cNvSpPr txBox="1"/>
        </xdr:nvSpPr>
        <xdr:spPr>
          <a:xfrm>
            <a:off x="38007578" y="895021"/>
            <a:ext cx="200217" cy="11488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PC</a:t>
            </a:r>
          </a:p>
        </xdr:txBody>
      </xdr:sp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235E6F09-3502-4F0D-A96F-67B31C9C7F62}"/>
              </a:ext>
            </a:extLst>
          </xdr:cNvPr>
          <xdr:cNvSpPr txBox="1"/>
        </xdr:nvSpPr>
        <xdr:spPr>
          <a:xfrm>
            <a:off x="36605287" y="1238980"/>
            <a:ext cx="391282" cy="1131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PCC50</a:t>
            </a:r>
          </a:p>
        </xdr:txBody>
      </xdr:sp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B38ADF80-62B6-4E8D-9D0B-71AE57668CF3}"/>
              </a:ext>
            </a:extLst>
          </xdr:cNvPr>
          <xdr:cNvSpPr txBox="1"/>
        </xdr:nvSpPr>
        <xdr:spPr>
          <a:xfrm>
            <a:off x="36806371" y="1614688"/>
            <a:ext cx="392857" cy="1131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PCC35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319111</xdr:colOff>
      <xdr:row>7</xdr:row>
      <xdr:rowOff>9857</xdr:rowOff>
    </xdr:from>
    <xdr:to>
      <xdr:col>2</xdr:col>
      <xdr:colOff>973171</xdr:colOff>
      <xdr:row>21</xdr:row>
      <xdr:rowOff>122748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D1E1238A-4DE4-0641-C837-BA1767AC673C}"/>
            </a:ext>
          </a:extLst>
        </xdr:cNvPr>
        <xdr:cNvGrpSpPr/>
      </xdr:nvGrpSpPr>
      <xdr:grpSpPr>
        <a:xfrm>
          <a:off x="319111" y="1401335"/>
          <a:ext cx="2890364" cy="2895848"/>
          <a:chOff x="12593617" y="2619829"/>
          <a:chExt cx="2807039" cy="290687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6F76C2D3-DCCC-CBD2-4791-B28A913E98F5}"/>
              </a:ext>
            </a:extLst>
          </xdr:cNvPr>
          <xdr:cNvGraphicFramePr/>
        </xdr:nvGraphicFramePr>
        <xdr:xfrm>
          <a:off x="12593617" y="2619829"/>
          <a:ext cx="2796813" cy="290025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45705547-E5C7-831E-60F1-8B8D5F501F45}"/>
              </a:ext>
            </a:extLst>
          </xdr:cNvPr>
          <xdr:cNvSpPr txBox="1"/>
        </xdr:nvSpPr>
        <xdr:spPr>
          <a:xfrm>
            <a:off x="12919603" y="2672063"/>
            <a:ext cx="1200325" cy="1565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Bound Cl [mg/g binder]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83E6C125-5996-4568-94F8-2E7E3F5AA6FC}"/>
              </a:ext>
            </a:extLst>
          </xdr:cNvPr>
          <xdr:cNvSpPr txBox="1"/>
        </xdr:nvSpPr>
        <xdr:spPr>
          <a:xfrm>
            <a:off x="13241655" y="5381557"/>
            <a:ext cx="2159001" cy="14514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lang="da-DK" sz="800">
                <a:latin typeface="Arial" panose="020B0604020202020204" pitchFamily="34" charset="0"/>
                <a:cs typeface="Arial" panose="020B0604020202020204" pitchFamily="34" charset="0"/>
              </a:rPr>
              <a:t>PC                    PCC35                 PCC50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4606DDFB-BD40-4B4D-ADCF-F076F66986FD}">
  <we:reference id="026e7b2b-fa4d-4fe0-bf3b-b965f6f25bee" version="1.0.0.76" store="EXCatalog" storeType="EXCatalog"/>
  <we:alternateReferences>
    <we:reference id="WA200000565" version="1.0.0.76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RDP.Data</we:customFunctionIds>
        <we:customFunctionIds>RDP.Price</we:customFunctionIds>
        <we:customFunctionIds>RDP.HistoricalPricing</we:customFunctionIds>
        <we:customFunctionIds>RDP.Analytics</we:customFunctionIds>
        <we:customFunctionIds>RDP.Search</we:customFunctionIds>
        <we:customFunctionIds>RDP.Now</we:customFunctionIds>
        <we:customFunctionIds>RDP.Today</we:customFunctionIds>
        <we:customFunctionIds>RDP.Aggregate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Q53"/>
  <sheetViews>
    <sheetView tabSelected="1" topLeftCell="R12" zoomScale="55" zoomScaleNormal="55" workbookViewId="0">
      <selection activeCell="AF22" sqref="AF22"/>
    </sheetView>
  </sheetViews>
  <sheetFormatPr defaultColWidth="10.83203125" defaultRowHeight="21" x14ac:dyDescent="0.5"/>
  <cols>
    <col min="1" max="1" width="10.83203125" style="5"/>
    <col min="2" max="2" width="15.08203125" style="5" customWidth="1"/>
    <col min="3" max="3" width="16.58203125" style="5" bestFit="1" customWidth="1"/>
    <col min="4" max="4" width="14" style="5" bestFit="1" customWidth="1"/>
    <col min="5" max="6" width="14" style="5" customWidth="1"/>
    <col min="7" max="7" width="10.83203125" style="5"/>
    <col min="8" max="8" width="14" style="5" customWidth="1"/>
    <col min="9" max="9" width="10.83203125" style="5"/>
    <col min="10" max="10" width="18.08203125" style="5" bestFit="1" customWidth="1"/>
    <col min="11" max="11" width="13.83203125" style="5" customWidth="1"/>
    <col min="12" max="12" width="12.83203125" style="5" customWidth="1"/>
    <col min="13" max="13" width="13.83203125" style="5" bestFit="1" customWidth="1"/>
    <col min="14" max="14" width="13.83203125" style="5" customWidth="1"/>
    <col min="15" max="15" width="15.33203125" style="5" customWidth="1"/>
    <col min="16" max="16" width="26.58203125" style="5" customWidth="1"/>
    <col min="17" max="17" width="27.08203125" bestFit="1" customWidth="1"/>
    <col min="18" max="18" width="15.83203125" bestFit="1" customWidth="1"/>
    <col min="19" max="19" width="15.83203125" customWidth="1"/>
    <col min="20" max="21" width="24.5" style="5" bestFit="1" customWidth="1"/>
    <col min="23" max="23" width="17.08203125" style="5" bestFit="1" customWidth="1"/>
    <col min="24" max="24" width="27" style="5" bestFit="1" customWidth="1"/>
    <col min="25" max="25" width="22.58203125" style="5" bestFit="1" customWidth="1"/>
    <col min="26" max="485" width="10.83203125" style="5"/>
    <col min="486" max="16384" width="10.83203125" style="1"/>
  </cols>
  <sheetData>
    <row r="1" spans="1:34" x14ac:dyDescent="0.5">
      <c r="B1" s="9" t="s">
        <v>21</v>
      </c>
      <c r="D1" s="10"/>
      <c r="G1" s="49" t="s">
        <v>52</v>
      </c>
      <c r="H1" s="5" t="s">
        <v>53</v>
      </c>
      <c r="L1"/>
    </row>
    <row r="2" spans="1:34" x14ac:dyDescent="0.5">
      <c r="B2" s="7" t="s">
        <v>25</v>
      </c>
      <c r="C2" s="47">
        <f>0.75*G2</f>
        <v>6.6750000000000004E-2</v>
      </c>
      <c r="D2" s="48">
        <f>0.5-C2</f>
        <v>0.43325000000000002</v>
      </c>
      <c r="E2" s="7" t="s">
        <v>4</v>
      </c>
      <c r="G2" s="49">
        <v>8.8999999999999996E-2</v>
      </c>
      <c r="H2" s="8">
        <f>'Water content'!N15/100</f>
        <v>0.14782055328126148</v>
      </c>
      <c r="J2" s="8"/>
    </row>
    <row r="3" spans="1:34" x14ac:dyDescent="0.5">
      <c r="B3" s="7" t="s">
        <v>26</v>
      </c>
      <c r="C3" s="47">
        <f t="shared" ref="C3:C4" si="0">0.75*G3</f>
        <v>0.11474999999999999</v>
      </c>
      <c r="D3" s="48">
        <f t="shared" ref="D3:D4" si="1">0.5-C3</f>
        <v>0.38524999999999998</v>
      </c>
      <c r="E3" s="7" t="s">
        <v>4</v>
      </c>
      <c r="G3" s="49">
        <v>0.153</v>
      </c>
      <c r="H3" s="8">
        <f>'Water content'!N16/100</f>
        <v>0.15888522508388017</v>
      </c>
      <c r="J3" s="8"/>
    </row>
    <row r="4" spans="1:34" x14ac:dyDescent="0.5">
      <c r="B4" s="7" t="s">
        <v>27</v>
      </c>
      <c r="C4" s="47">
        <f t="shared" si="0"/>
        <v>0.14924999999999999</v>
      </c>
      <c r="D4" s="48">
        <f t="shared" si="1"/>
        <v>0.35075000000000001</v>
      </c>
      <c r="E4" s="7" t="s">
        <v>4</v>
      </c>
      <c r="G4" s="49">
        <v>0.19900000000000001</v>
      </c>
      <c r="H4" s="8">
        <f>'Water content'!N17/100</f>
        <v>0.17270176106250804</v>
      </c>
      <c r="J4" s="8"/>
    </row>
    <row r="5" spans="1:34" x14ac:dyDescent="0.5">
      <c r="B5" s="7"/>
    </row>
    <row r="6" spans="1:34" x14ac:dyDescent="0.5">
      <c r="B6" s="7"/>
    </row>
    <row r="7" spans="1:34" x14ac:dyDescent="0.5">
      <c r="B7" s="7"/>
    </row>
    <row r="8" spans="1:34" x14ac:dyDescent="0.5">
      <c r="B8" s="46" t="s">
        <v>25</v>
      </c>
    </row>
    <row r="9" spans="1:34" ht="24" x14ac:dyDescent="0.65">
      <c r="A9" s="1"/>
      <c r="B9" s="28" t="s">
        <v>20</v>
      </c>
      <c r="C9" s="28"/>
      <c r="D9" s="1"/>
      <c r="E9" s="28" t="s">
        <v>16</v>
      </c>
      <c r="F9" s="28" t="s">
        <v>45</v>
      </c>
      <c r="G9" s="28" t="s">
        <v>19</v>
      </c>
      <c r="H9" s="28" t="s">
        <v>12</v>
      </c>
      <c r="I9" s="28" t="s">
        <v>13</v>
      </c>
      <c r="J9" s="1"/>
      <c r="K9" s="1"/>
      <c r="L9" s="1"/>
      <c r="M9" s="1"/>
      <c r="N9" s="28"/>
      <c r="O9" s="28" t="s">
        <v>14</v>
      </c>
      <c r="P9" s="29" t="s">
        <v>17</v>
      </c>
      <c r="Q9" s="1"/>
      <c r="R9" s="28" t="s">
        <v>14</v>
      </c>
      <c r="S9" s="28"/>
      <c r="T9" s="29" t="s">
        <v>17</v>
      </c>
      <c r="U9" s="1"/>
    </row>
    <row r="10" spans="1:34" ht="24" x14ac:dyDescent="0.65">
      <c r="A10" s="1" t="s">
        <v>28</v>
      </c>
      <c r="B10" s="1" t="s">
        <v>0</v>
      </c>
      <c r="C10" s="1" t="s">
        <v>0</v>
      </c>
      <c r="D10" s="1" t="s">
        <v>2</v>
      </c>
      <c r="E10" s="1" t="s">
        <v>3</v>
      </c>
      <c r="F10" s="1"/>
      <c r="G10" s="1"/>
      <c r="H10" s="1" t="s">
        <v>5</v>
      </c>
      <c r="I10" s="30" t="s">
        <v>7</v>
      </c>
      <c r="J10" s="1" t="s">
        <v>15</v>
      </c>
      <c r="K10" s="1" t="s">
        <v>1</v>
      </c>
      <c r="L10" s="1" t="s">
        <v>1</v>
      </c>
      <c r="M10" s="30" t="s">
        <v>10</v>
      </c>
      <c r="N10" s="1" t="s">
        <v>22</v>
      </c>
      <c r="O10" s="1" t="s">
        <v>11</v>
      </c>
      <c r="P10" s="31" t="s">
        <v>18</v>
      </c>
      <c r="Q10" s="29"/>
      <c r="R10" s="1" t="s">
        <v>11</v>
      </c>
      <c r="S10" s="1" t="s">
        <v>46</v>
      </c>
      <c r="T10" s="31" t="s">
        <v>40</v>
      </c>
      <c r="U10" s="1" t="s">
        <v>46</v>
      </c>
    </row>
    <row r="11" spans="1:34" x14ac:dyDescent="0.5">
      <c r="A11" s="1"/>
      <c r="B11" s="1" t="s">
        <v>9</v>
      </c>
      <c r="C11" s="1" t="s">
        <v>24</v>
      </c>
      <c r="D11" s="1"/>
      <c r="E11" s="1" t="s">
        <v>6</v>
      </c>
      <c r="F11" s="1" t="s">
        <v>23</v>
      </c>
      <c r="G11" s="1"/>
      <c r="H11" s="1" t="s">
        <v>23</v>
      </c>
      <c r="I11" s="1" t="s">
        <v>8</v>
      </c>
      <c r="J11" s="30" t="s">
        <v>8</v>
      </c>
      <c r="K11" s="1" t="s">
        <v>8</v>
      </c>
      <c r="L11" s="1" t="s">
        <v>23</v>
      </c>
      <c r="M11" s="1" t="s">
        <v>23</v>
      </c>
      <c r="N11" s="1" t="s">
        <v>23</v>
      </c>
      <c r="O11" s="1" t="s">
        <v>8</v>
      </c>
      <c r="P11" s="31" t="s">
        <v>54</v>
      </c>
      <c r="Q11" s="31"/>
      <c r="R11" s="1" t="s">
        <v>8</v>
      </c>
      <c r="S11" s="1" t="s">
        <v>8</v>
      </c>
      <c r="T11" s="31" t="s">
        <v>54</v>
      </c>
      <c r="U11" s="31" t="s">
        <v>54</v>
      </c>
      <c r="W11" s="1" t="s">
        <v>55</v>
      </c>
      <c r="X11" s="50" t="s">
        <v>56</v>
      </c>
      <c r="Y11" s="50" t="s">
        <v>59</v>
      </c>
    </row>
    <row r="12" spans="1:34" x14ac:dyDescent="0.5">
      <c r="A12" s="32">
        <v>45362</v>
      </c>
      <c r="B12" s="33">
        <v>0</v>
      </c>
      <c r="C12" s="33">
        <v>0</v>
      </c>
      <c r="D12" s="1">
        <v>0</v>
      </c>
      <c r="E12" s="1">
        <v>20</v>
      </c>
      <c r="F12" s="1">
        <v>10</v>
      </c>
      <c r="G12" s="37">
        <f>E12*$C$2</f>
        <v>1.335</v>
      </c>
      <c r="H12" s="35">
        <f>$F12+E12*$C$2</f>
        <v>11.335000000000001</v>
      </c>
      <c r="I12" s="36">
        <f>IF(B12=0,0,B12*$F12/H12*(C12/B12))</f>
        <v>0</v>
      </c>
      <c r="J12" s="37">
        <v>0.1</v>
      </c>
      <c r="K12" s="37">
        <v>0.1</v>
      </c>
      <c r="L12" s="37">
        <v>1</v>
      </c>
      <c r="M12" s="34">
        <v>0.5</v>
      </c>
      <c r="N12" s="34">
        <v>1.0229999999999999</v>
      </c>
      <c r="O12" s="36">
        <f>(N12*J12-L12*K12)/M12</f>
        <v>4.599999999999993E-3</v>
      </c>
      <c r="P12" s="37">
        <f>1000*(I12-O12)*H12*35.5/(E12-G12)/1000</f>
        <v>-9.9169863380658835E-2</v>
      </c>
      <c r="Q12" s="39">
        <v>0</v>
      </c>
      <c r="R12" s="39">
        <f>O12</f>
        <v>4.599999999999993E-3</v>
      </c>
      <c r="S12" s="39"/>
      <c r="T12" s="1">
        <v>0</v>
      </c>
      <c r="U12" s="1"/>
      <c r="W12" s="1"/>
      <c r="X12" s="1"/>
      <c r="Y12" s="1"/>
    </row>
    <row r="13" spans="1:34" x14ac:dyDescent="0.5">
      <c r="A13" s="32">
        <v>45362</v>
      </c>
      <c r="B13" s="38">
        <v>0.125</v>
      </c>
      <c r="C13" s="38">
        <f>(79.4/58.44)/10</f>
        <v>0.13586584531143053</v>
      </c>
      <c r="D13" s="1">
        <v>0</v>
      </c>
      <c r="E13" s="1">
        <v>20</v>
      </c>
      <c r="F13" s="1">
        <v>10</v>
      </c>
      <c r="G13" s="37">
        <f t="shared" ref="G13:G19" si="2">E13*$C$2</f>
        <v>1.335</v>
      </c>
      <c r="H13" s="35">
        <f t="shared" ref="H13:H19" si="3">$F13+E13*$C$2</f>
        <v>11.335000000000001</v>
      </c>
      <c r="I13" s="36">
        <f t="shared" ref="I13:I18" si="4">IF(B13=0,0,B13*$F13/H13*(C13/B13))</f>
        <v>0.11986400115697443</v>
      </c>
      <c r="J13" s="37">
        <v>0.1</v>
      </c>
      <c r="K13" s="37">
        <v>0.1</v>
      </c>
      <c r="L13" s="37">
        <v>1</v>
      </c>
      <c r="M13" s="34">
        <v>0.5</v>
      </c>
      <c r="N13" s="34">
        <v>1.456</v>
      </c>
      <c r="O13" s="36">
        <f>(N13*J13-L13*K13)/M13</f>
        <v>9.1200000000000003E-2</v>
      </c>
      <c r="P13" s="37">
        <f t="shared" ref="P13:P19" si="5">1000*(I13-O13)*H13*35.5/(E13-G13)/1000</f>
        <v>0.61795762580004476</v>
      </c>
      <c r="Q13" s="39">
        <v>0.125</v>
      </c>
      <c r="R13" s="39">
        <f>AVERAGE(O13:O14)</f>
        <v>8.5799999999999987E-2</v>
      </c>
      <c r="S13" s="39">
        <f>ABS(O13-O14)</f>
        <v>1.0800000000000032E-2</v>
      </c>
      <c r="T13" s="40">
        <f>AVERAGE(P13:P14)</f>
        <v>0.73437442194255775</v>
      </c>
      <c r="U13" s="40">
        <f>ABS(P13-P14)</f>
        <v>0.23283359228502598</v>
      </c>
      <c r="W13" s="40">
        <f>LOG(R13)</f>
        <v>-1.0665127121512947</v>
      </c>
      <c r="X13" s="40">
        <f>LOG(T13)</f>
        <v>-0.13408245789975262</v>
      </c>
      <c r="Y13" s="40">
        <f>LOG(T13*1.15)</f>
        <v>-7.3384617546140979E-2</v>
      </c>
    </row>
    <row r="14" spans="1:34" x14ac:dyDescent="0.5">
      <c r="A14" s="32">
        <v>45366</v>
      </c>
      <c r="B14" s="39">
        <v>0.125</v>
      </c>
      <c r="C14" s="38">
        <f>(79.4/58.44)/10</f>
        <v>0.13586584531143053</v>
      </c>
      <c r="D14" s="1">
        <v>0</v>
      </c>
      <c r="E14" s="1">
        <v>20</v>
      </c>
      <c r="F14" s="1">
        <v>10</v>
      </c>
      <c r="G14" s="37">
        <f t="shared" si="2"/>
        <v>1.335</v>
      </c>
      <c r="H14" s="35">
        <f t="shared" si="3"/>
        <v>11.335000000000001</v>
      </c>
      <c r="I14" s="36">
        <f t="shared" si="4"/>
        <v>0.11986400115697443</v>
      </c>
      <c r="J14" s="37">
        <v>0.1</v>
      </c>
      <c r="K14" s="37">
        <v>0.1</v>
      </c>
      <c r="L14" s="37">
        <v>1</v>
      </c>
      <c r="M14" s="34">
        <v>0.5</v>
      </c>
      <c r="N14" s="34">
        <v>1.4019999999999999</v>
      </c>
      <c r="O14" s="36">
        <f>(N14*J14-L14*K14)/M14</f>
        <v>8.0399999999999971E-2</v>
      </c>
      <c r="P14" s="37">
        <f t="shared" si="5"/>
        <v>0.85079121808507074</v>
      </c>
      <c r="Q14" s="39">
        <v>0.25</v>
      </c>
      <c r="R14" s="39">
        <f>O15</f>
        <v>0.17020000000000002</v>
      </c>
      <c r="S14" s="39"/>
      <c r="T14" s="40">
        <f>P15</f>
        <v>1.0595675320270046</v>
      </c>
      <c r="U14" s="1"/>
      <c r="W14" s="40">
        <f>LOG(R14)</f>
        <v>-0.76904044425143092</v>
      </c>
      <c r="X14" s="40">
        <f>LOG(T14)</f>
        <v>2.5128641888737011E-2</v>
      </c>
      <c r="Y14" s="40">
        <f t="shared" ref="Y14:Y17" si="6">LOG(T14*1.15)</f>
        <v>8.5826482242348692E-2</v>
      </c>
      <c r="AF14" s="50" t="s">
        <v>57</v>
      </c>
      <c r="AG14" s="1"/>
      <c r="AH14" s="1"/>
    </row>
    <row r="15" spans="1:34" x14ac:dyDescent="0.5">
      <c r="A15" s="32">
        <v>45362</v>
      </c>
      <c r="B15" s="38">
        <v>0.25</v>
      </c>
      <c r="C15" s="38">
        <f>(145.3/58.44)/10</f>
        <v>0.24863107460643397</v>
      </c>
      <c r="D15" s="1">
        <v>0</v>
      </c>
      <c r="E15" s="1">
        <v>20</v>
      </c>
      <c r="F15" s="1">
        <v>10</v>
      </c>
      <c r="G15" s="37">
        <f t="shared" si="2"/>
        <v>1.335</v>
      </c>
      <c r="H15" s="35">
        <f t="shared" si="3"/>
        <v>11.335000000000001</v>
      </c>
      <c r="I15" s="36">
        <f t="shared" si="4"/>
        <v>0.21934810287290157</v>
      </c>
      <c r="J15" s="37">
        <v>0.1</v>
      </c>
      <c r="K15" s="37">
        <v>0.1</v>
      </c>
      <c r="L15" s="37">
        <v>0</v>
      </c>
      <c r="M15" s="34">
        <v>0.5</v>
      </c>
      <c r="N15" s="34">
        <v>0.85099999999999998</v>
      </c>
      <c r="O15" s="36">
        <f t="shared" ref="O15:O18" si="7">(N15*J15-L15*K15)/M15</f>
        <v>0.17020000000000002</v>
      </c>
      <c r="P15" s="37">
        <f t="shared" si="5"/>
        <v>1.0595675320270046</v>
      </c>
      <c r="Q15" s="39">
        <v>0.5</v>
      </c>
      <c r="R15" s="39">
        <f>O16</f>
        <v>0.33879999999999999</v>
      </c>
      <c r="S15" s="39"/>
      <c r="T15" s="40">
        <f>P16</f>
        <v>2.248010706478083</v>
      </c>
      <c r="U15" s="1"/>
      <c r="W15" s="40">
        <f>LOG(R15)</f>
        <v>-0.47005659834133073</v>
      </c>
      <c r="X15" s="40">
        <f>LOG(T15)</f>
        <v>0.35179837529261043</v>
      </c>
      <c r="Y15" s="40">
        <f t="shared" si="6"/>
        <v>0.41249621564622208</v>
      </c>
      <c r="AF15" s="1"/>
      <c r="AG15" s="1" t="s">
        <v>50</v>
      </c>
      <c r="AH15" s="1" t="s">
        <v>51</v>
      </c>
    </row>
    <row r="16" spans="1:34" x14ac:dyDescent="0.5">
      <c r="A16" s="32">
        <v>45362</v>
      </c>
      <c r="B16" s="38">
        <v>0.5</v>
      </c>
      <c r="C16" s="38">
        <f>(293.5/58.44)/10</f>
        <v>0.50222450376454486</v>
      </c>
      <c r="D16" s="1">
        <v>0</v>
      </c>
      <c r="E16" s="1">
        <v>20</v>
      </c>
      <c r="F16" s="1">
        <v>10</v>
      </c>
      <c r="G16" s="37">
        <f t="shared" si="2"/>
        <v>1.335</v>
      </c>
      <c r="H16" s="35">
        <f t="shared" si="3"/>
        <v>11.335000000000001</v>
      </c>
      <c r="I16" s="36">
        <f t="shared" si="4"/>
        <v>0.44307411007017627</v>
      </c>
      <c r="J16" s="37">
        <v>0.1</v>
      </c>
      <c r="K16" s="37">
        <v>0.1</v>
      </c>
      <c r="L16" s="37">
        <v>0</v>
      </c>
      <c r="M16" s="34">
        <v>0.5</v>
      </c>
      <c r="N16" s="34">
        <v>1.694</v>
      </c>
      <c r="O16" s="36">
        <f t="shared" si="7"/>
        <v>0.33879999999999999</v>
      </c>
      <c r="P16" s="37">
        <f t="shared" si="5"/>
        <v>2.248010706478083</v>
      </c>
      <c r="Q16" s="39">
        <v>1</v>
      </c>
      <c r="R16" s="39">
        <f>AVERAGE(O17:O18)</f>
        <v>0.68680000000000008</v>
      </c>
      <c r="S16" s="39">
        <f>ABS(O17-O18)</f>
        <v>9.199999999999986E-3</v>
      </c>
      <c r="T16" s="40">
        <f>AVERAGE(P17:P18)</f>
        <v>4.2358453496049524</v>
      </c>
      <c r="U16" s="40">
        <f>ABS(P17-P18)</f>
        <v>0.19833972676131761</v>
      </c>
      <c r="W16" s="40">
        <f>LOG(R16)</f>
        <v>-0.16316971351112106</v>
      </c>
      <c r="X16" s="40">
        <f>LOG(T16)</f>
        <v>0.62694009566603015</v>
      </c>
      <c r="Y16" s="40">
        <f t="shared" si="6"/>
        <v>0.68763793601964185</v>
      </c>
      <c r="AF16" s="1" t="s">
        <v>25</v>
      </c>
      <c r="AG16" s="51">
        <f>10^0.75</f>
        <v>5.6234132519034921</v>
      </c>
      <c r="AH16" s="40">
        <v>0.87</v>
      </c>
    </row>
    <row r="17" spans="1:485" x14ac:dyDescent="0.5">
      <c r="A17" s="32">
        <v>45362</v>
      </c>
      <c r="B17" s="38">
        <v>1</v>
      </c>
      <c r="C17" s="38">
        <f>(585.1/58.44)/10</f>
        <v>1.0011978097193703</v>
      </c>
      <c r="D17" s="1">
        <v>0</v>
      </c>
      <c r="E17" s="1">
        <v>20</v>
      </c>
      <c r="F17" s="1">
        <v>10</v>
      </c>
      <c r="G17" s="37">
        <f t="shared" si="2"/>
        <v>1.335</v>
      </c>
      <c r="H17" s="35">
        <f t="shared" si="3"/>
        <v>11.335000000000001</v>
      </c>
      <c r="I17" s="36">
        <f t="shared" si="4"/>
        <v>0.88327993799679771</v>
      </c>
      <c r="J17" s="37">
        <v>0.1</v>
      </c>
      <c r="K17" s="37">
        <v>0.1</v>
      </c>
      <c r="L17" s="37">
        <v>0</v>
      </c>
      <c r="M17" s="34">
        <v>0.5</v>
      </c>
      <c r="N17" s="34">
        <v>3.411</v>
      </c>
      <c r="O17" s="36">
        <f t="shared" si="7"/>
        <v>0.68220000000000003</v>
      </c>
      <c r="P17" s="37">
        <f t="shared" si="5"/>
        <v>4.3350152129856108</v>
      </c>
      <c r="Q17" s="39">
        <v>2</v>
      </c>
      <c r="R17" s="39">
        <f>O19</f>
        <v>1.4134000000000002</v>
      </c>
      <c r="S17" s="39"/>
      <c r="T17" s="40">
        <f>P19</f>
        <v>7.6592194107423399</v>
      </c>
      <c r="U17" s="1"/>
      <c r="W17" s="40">
        <f>LOG(R17)</f>
        <v>0.1502650869787038</v>
      </c>
      <c r="X17" s="40">
        <f>LOG(T17)</f>
        <v>0.88418451077078619</v>
      </c>
      <c r="Y17" s="40">
        <f t="shared" si="6"/>
        <v>0.94488235112439778</v>
      </c>
      <c r="AF17" s="1" t="s">
        <v>26</v>
      </c>
      <c r="AG17" s="51">
        <f>10^0.89</f>
        <v>7.7624711662869199</v>
      </c>
      <c r="AH17" s="40">
        <v>0.45</v>
      </c>
    </row>
    <row r="18" spans="1:485" x14ac:dyDescent="0.5">
      <c r="A18" s="32">
        <v>45366</v>
      </c>
      <c r="B18" s="38">
        <v>1</v>
      </c>
      <c r="C18" s="38">
        <f>(585.1/58.44)/10</f>
        <v>1.0011978097193703</v>
      </c>
      <c r="D18" s="1">
        <v>0</v>
      </c>
      <c r="E18" s="1">
        <v>20</v>
      </c>
      <c r="F18" s="1">
        <v>10</v>
      </c>
      <c r="G18" s="37">
        <f t="shared" si="2"/>
        <v>1.335</v>
      </c>
      <c r="H18" s="35">
        <f t="shared" si="3"/>
        <v>11.335000000000001</v>
      </c>
      <c r="I18" s="36">
        <f t="shared" si="4"/>
        <v>0.88327993799679771</v>
      </c>
      <c r="J18" s="37">
        <v>0.1</v>
      </c>
      <c r="K18" s="37">
        <v>0.1</v>
      </c>
      <c r="L18" s="37">
        <v>0</v>
      </c>
      <c r="M18" s="34">
        <v>0.5</v>
      </c>
      <c r="N18" s="34">
        <v>3.4569999999999999</v>
      </c>
      <c r="O18" s="36">
        <f t="shared" si="7"/>
        <v>0.69140000000000001</v>
      </c>
      <c r="P18" s="37">
        <f t="shared" si="5"/>
        <v>4.1366754862242932</v>
      </c>
      <c r="Q18" s="20"/>
      <c r="R18" s="20"/>
      <c r="S18" s="20"/>
      <c r="T18" s="20"/>
      <c r="AF18" s="1" t="s">
        <v>27</v>
      </c>
      <c r="AG18" s="51">
        <f>10^0.88</f>
        <v>7.5857757502918375</v>
      </c>
      <c r="AH18" s="40">
        <v>0.4</v>
      </c>
    </row>
    <row r="19" spans="1:485" x14ac:dyDescent="0.5">
      <c r="A19" s="32">
        <v>45362</v>
      </c>
      <c r="B19" s="39">
        <v>2</v>
      </c>
      <c r="C19" s="38">
        <f>(1171.6/58.44)/10</f>
        <v>2.0047912388774813</v>
      </c>
      <c r="D19" s="1">
        <v>0</v>
      </c>
      <c r="E19" s="1">
        <v>20</v>
      </c>
      <c r="F19" s="1">
        <v>10</v>
      </c>
      <c r="G19" s="37">
        <f t="shared" si="2"/>
        <v>1.335</v>
      </c>
      <c r="H19" s="35">
        <f t="shared" si="3"/>
        <v>11.335000000000001</v>
      </c>
      <c r="I19" s="36">
        <f>IF(B19=0,0,B19*$F19/H19*(C19/B19))</f>
        <v>1.7686733470467413</v>
      </c>
      <c r="J19" s="37">
        <v>0.1</v>
      </c>
      <c r="K19" s="37">
        <v>0.1</v>
      </c>
      <c r="L19" s="37">
        <v>0</v>
      </c>
      <c r="M19" s="34">
        <v>0.5</v>
      </c>
      <c r="N19" s="34">
        <v>7.0670000000000002</v>
      </c>
      <c r="O19" s="36">
        <f>(N19*J19-L19*K19)/M19</f>
        <v>1.4134000000000002</v>
      </c>
      <c r="P19" s="37">
        <f t="shared" si="5"/>
        <v>7.6592194107423399</v>
      </c>
      <c r="Q19" s="20"/>
      <c r="R19" s="20"/>
      <c r="S19" s="20"/>
      <c r="T19" s="20"/>
    </row>
    <row r="20" spans="1:485" s="5" customFormat="1" x14ac:dyDescent="0.5">
      <c r="B20" s="8"/>
      <c r="C20" s="12"/>
      <c r="G20" s="13"/>
      <c r="H20" s="14"/>
      <c r="I20" s="17"/>
      <c r="J20" s="15"/>
      <c r="K20" s="15"/>
      <c r="L20" s="15"/>
      <c r="M20" s="13"/>
      <c r="N20" s="13"/>
      <c r="O20" s="17"/>
      <c r="P20" s="15"/>
      <c r="Q20" s="20"/>
      <c r="R20" s="20"/>
      <c r="S20" s="20"/>
      <c r="T20" s="20"/>
      <c r="V20"/>
    </row>
    <row r="21" spans="1:485" customFormat="1" x14ac:dyDescent="0.5"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20"/>
      <c r="R21" s="20"/>
      <c r="S21" s="20"/>
      <c r="W21" s="5"/>
      <c r="X21" s="5"/>
    </row>
    <row r="22" spans="1:485" ht="21.5" thickBot="1" x14ac:dyDescent="0.55000000000000004">
      <c r="B22" s="46" t="s">
        <v>26</v>
      </c>
      <c r="Q22" s="5"/>
      <c r="R22" s="5"/>
      <c r="S22" s="5"/>
    </row>
    <row r="23" spans="1:485" s="2" customFormat="1" ht="24" x14ac:dyDescent="0.65">
      <c r="A23" s="1"/>
      <c r="B23" s="28" t="s">
        <v>20</v>
      </c>
      <c r="C23" s="28"/>
      <c r="D23" s="1"/>
      <c r="E23" s="28" t="s">
        <v>16</v>
      </c>
      <c r="F23" s="28"/>
      <c r="G23" s="28" t="s">
        <v>19</v>
      </c>
      <c r="H23" s="28" t="s">
        <v>12</v>
      </c>
      <c r="I23" s="28" t="s">
        <v>13</v>
      </c>
      <c r="J23" s="1"/>
      <c r="K23" s="1"/>
      <c r="L23" s="1"/>
      <c r="M23" s="1"/>
      <c r="N23" s="28"/>
      <c r="O23" s="28" t="s">
        <v>14</v>
      </c>
      <c r="P23" s="29" t="s">
        <v>17</v>
      </c>
      <c r="Q23" s="41"/>
      <c r="R23" s="29"/>
      <c r="S23" s="29"/>
      <c r="T23" s="29" t="s">
        <v>17</v>
      </c>
      <c r="U23" s="1"/>
      <c r="V23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5"/>
      <c r="NH23" s="5"/>
      <c r="NI23" s="5"/>
      <c r="NJ23" s="5"/>
      <c r="NK23" s="5"/>
      <c r="NL23" s="5"/>
      <c r="NM23" s="5"/>
      <c r="NN23" s="5"/>
      <c r="NO23" s="5"/>
      <c r="NP23" s="5"/>
      <c r="NQ23" s="5"/>
      <c r="NR23" s="5"/>
      <c r="NS23" s="5"/>
      <c r="NT23" s="5"/>
      <c r="NU23" s="5"/>
      <c r="NV23" s="5"/>
      <c r="NW23" s="5"/>
      <c r="NX23" s="5"/>
      <c r="NY23" s="5"/>
      <c r="NZ23" s="5"/>
      <c r="OA23" s="5"/>
      <c r="OB23" s="5"/>
      <c r="OC23" s="5"/>
      <c r="OD23" s="5"/>
      <c r="OE23" s="5"/>
      <c r="OF23" s="5"/>
      <c r="OG23" s="5"/>
      <c r="OH23" s="5"/>
      <c r="OI23" s="5"/>
      <c r="OJ23" s="5"/>
      <c r="OK23" s="5"/>
      <c r="OL23" s="5"/>
      <c r="OM23" s="5"/>
      <c r="ON23" s="5"/>
      <c r="OO23" s="5"/>
      <c r="OP23" s="5"/>
      <c r="OQ23" s="5"/>
      <c r="OR23" s="5"/>
      <c r="OS23" s="5"/>
      <c r="OT23" s="5"/>
      <c r="OU23" s="5"/>
      <c r="OV23" s="5"/>
      <c r="OW23" s="5"/>
      <c r="OX23" s="5"/>
      <c r="OY23" s="5"/>
      <c r="OZ23" s="5"/>
      <c r="PA23" s="5"/>
      <c r="PB23" s="5"/>
      <c r="PC23" s="5"/>
      <c r="PD23" s="5"/>
      <c r="PE23" s="5"/>
      <c r="PF23" s="5"/>
      <c r="PG23" s="5"/>
      <c r="PH23" s="5"/>
      <c r="PI23" s="5"/>
      <c r="PJ23" s="5"/>
      <c r="PK23" s="5"/>
      <c r="PL23" s="5"/>
      <c r="PM23" s="5"/>
      <c r="PN23" s="5"/>
      <c r="PO23" s="5"/>
      <c r="PP23" s="5"/>
      <c r="PQ23" s="5"/>
      <c r="PR23" s="5"/>
      <c r="PS23" s="5"/>
      <c r="PT23" s="5"/>
      <c r="PU23" s="5"/>
      <c r="PV23" s="5"/>
      <c r="PW23" s="5"/>
      <c r="PX23" s="5"/>
      <c r="PY23" s="5"/>
      <c r="PZ23" s="5"/>
      <c r="QA23" s="5"/>
      <c r="QB23" s="5"/>
      <c r="QC23" s="5"/>
      <c r="QD23" s="5"/>
      <c r="QE23" s="5"/>
      <c r="QF23" s="5"/>
      <c r="QG23" s="5"/>
      <c r="QH23" s="5"/>
      <c r="QI23" s="5"/>
      <c r="QJ23" s="5"/>
      <c r="QK23" s="5"/>
      <c r="QL23" s="5"/>
      <c r="QM23" s="5"/>
      <c r="QN23" s="5"/>
      <c r="QO23" s="5"/>
      <c r="QP23" s="5"/>
      <c r="QQ23" s="5"/>
      <c r="QR23" s="5"/>
      <c r="QS23" s="5"/>
      <c r="QT23" s="5"/>
      <c r="QU23" s="5"/>
      <c r="QV23" s="5"/>
      <c r="QW23" s="5"/>
      <c r="QX23" s="5"/>
      <c r="QY23" s="5"/>
      <c r="QZ23" s="5"/>
      <c r="RA23" s="5"/>
      <c r="RB23" s="5"/>
      <c r="RC23" s="5"/>
      <c r="RD23" s="5"/>
      <c r="RE23" s="5"/>
      <c r="RF23" s="5"/>
      <c r="RG23" s="5"/>
      <c r="RH23" s="5"/>
      <c r="RI23" s="5"/>
      <c r="RJ23" s="5"/>
      <c r="RK23" s="5"/>
      <c r="RL23" s="5"/>
      <c r="RM23" s="5"/>
      <c r="RN23" s="5"/>
      <c r="RO23" s="5"/>
      <c r="RP23" s="5"/>
      <c r="RQ23" s="5"/>
    </row>
    <row r="24" spans="1:485" s="3" customFormat="1" ht="24.5" thickBot="1" x14ac:dyDescent="0.7">
      <c r="A24" s="1"/>
      <c r="B24" s="1" t="s">
        <v>0</v>
      </c>
      <c r="C24" s="1" t="s">
        <v>0</v>
      </c>
      <c r="D24" s="1" t="s">
        <v>2</v>
      </c>
      <c r="E24" s="1" t="s">
        <v>3</v>
      </c>
      <c r="F24" s="1"/>
      <c r="G24" s="1"/>
      <c r="H24" s="1" t="s">
        <v>5</v>
      </c>
      <c r="I24" s="30" t="s">
        <v>7</v>
      </c>
      <c r="J24" s="1" t="s">
        <v>15</v>
      </c>
      <c r="K24" s="1" t="s">
        <v>1</v>
      </c>
      <c r="L24" s="1" t="s">
        <v>1</v>
      </c>
      <c r="M24" s="30" t="s">
        <v>10</v>
      </c>
      <c r="N24" s="1" t="s">
        <v>22</v>
      </c>
      <c r="O24" s="1" t="s">
        <v>11</v>
      </c>
      <c r="P24" s="31" t="s">
        <v>18</v>
      </c>
      <c r="Q24" s="42"/>
      <c r="R24" s="31"/>
      <c r="S24" s="31"/>
      <c r="T24" s="31" t="s">
        <v>18</v>
      </c>
      <c r="U24" s="1"/>
      <c r="V24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5"/>
      <c r="NH24" s="5"/>
      <c r="NI24" s="5"/>
      <c r="NJ24" s="5"/>
      <c r="NK24" s="5"/>
      <c r="NL24" s="5"/>
      <c r="NM24" s="5"/>
      <c r="NN24" s="5"/>
      <c r="NO24" s="5"/>
      <c r="NP24" s="5"/>
      <c r="NQ24" s="5"/>
      <c r="NR24" s="5"/>
      <c r="NS24" s="5"/>
      <c r="NT24" s="5"/>
      <c r="NU24" s="5"/>
      <c r="NV24" s="5"/>
      <c r="NW24" s="5"/>
      <c r="NX24" s="5"/>
      <c r="NY24" s="5"/>
      <c r="NZ24" s="5"/>
      <c r="OA24" s="5"/>
      <c r="OB24" s="5"/>
      <c r="OC24" s="5"/>
      <c r="OD24" s="5"/>
      <c r="OE24" s="5"/>
      <c r="OF24" s="5"/>
      <c r="OG24" s="5"/>
      <c r="OH24" s="5"/>
      <c r="OI24" s="5"/>
      <c r="OJ24" s="5"/>
      <c r="OK24" s="5"/>
      <c r="OL24" s="5"/>
      <c r="OM24" s="5"/>
      <c r="ON24" s="5"/>
      <c r="OO24" s="5"/>
      <c r="OP24" s="5"/>
      <c r="OQ24" s="5"/>
      <c r="OR24" s="5"/>
      <c r="OS24" s="5"/>
      <c r="OT24" s="5"/>
      <c r="OU24" s="5"/>
      <c r="OV24" s="5"/>
      <c r="OW24" s="5"/>
      <c r="OX24" s="5"/>
      <c r="OY24" s="5"/>
      <c r="OZ24" s="5"/>
      <c r="PA24" s="5"/>
      <c r="PB24" s="5"/>
      <c r="PC24" s="5"/>
      <c r="PD24" s="5"/>
      <c r="PE24" s="5"/>
      <c r="PF24" s="5"/>
      <c r="PG24" s="5"/>
      <c r="PH24" s="5"/>
      <c r="PI24" s="5"/>
      <c r="PJ24" s="5"/>
      <c r="PK24" s="5"/>
      <c r="PL24" s="5"/>
      <c r="PM24" s="5"/>
      <c r="PN24" s="5"/>
      <c r="PO24" s="5"/>
      <c r="PP24" s="5"/>
      <c r="PQ24" s="5"/>
      <c r="PR24" s="5"/>
      <c r="PS24" s="5"/>
      <c r="PT24" s="5"/>
      <c r="PU24" s="5"/>
      <c r="PV24" s="5"/>
      <c r="PW24" s="5"/>
      <c r="PX24" s="5"/>
      <c r="PY24" s="5"/>
      <c r="PZ24" s="5"/>
      <c r="QA24" s="5"/>
      <c r="QB24" s="5"/>
      <c r="QC24" s="5"/>
      <c r="QD24" s="5"/>
      <c r="QE24" s="5"/>
      <c r="QF24" s="5"/>
      <c r="QG24" s="5"/>
      <c r="QH24" s="5"/>
      <c r="QI24" s="5"/>
      <c r="QJ24" s="5"/>
      <c r="QK24" s="5"/>
      <c r="QL24" s="5"/>
      <c r="QM24" s="5"/>
      <c r="QN24" s="5"/>
      <c r="QO24" s="5"/>
      <c r="QP24" s="5"/>
      <c r="QQ24" s="5"/>
      <c r="QR24" s="5"/>
      <c r="QS24" s="5"/>
      <c r="QT24" s="5"/>
      <c r="QU24" s="5"/>
      <c r="QV24" s="5"/>
      <c r="QW24" s="5"/>
      <c r="QX24" s="5"/>
      <c r="QY24" s="5"/>
      <c r="QZ24" s="5"/>
      <c r="RA24" s="5"/>
      <c r="RB24" s="5"/>
      <c r="RC24" s="5"/>
      <c r="RD24" s="5"/>
      <c r="RE24" s="5"/>
      <c r="RF24" s="5"/>
      <c r="RG24" s="5"/>
      <c r="RH24" s="5"/>
      <c r="RI24" s="5"/>
      <c r="RJ24" s="5"/>
      <c r="RK24" s="5"/>
      <c r="RL24" s="5"/>
      <c r="RM24" s="5"/>
      <c r="RN24" s="5"/>
      <c r="RO24" s="5"/>
      <c r="RP24" s="5"/>
      <c r="RQ24" s="5"/>
    </row>
    <row r="25" spans="1:485" s="2" customFormat="1" x14ac:dyDescent="0.5">
      <c r="A25" s="1"/>
      <c r="B25" s="1" t="s">
        <v>9</v>
      </c>
      <c r="C25" s="1" t="s">
        <v>24</v>
      </c>
      <c r="D25" s="1"/>
      <c r="E25" s="1" t="s">
        <v>6</v>
      </c>
      <c r="F25" s="1"/>
      <c r="G25" s="1"/>
      <c r="H25" s="1" t="s">
        <v>23</v>
      </c>
      <c r="I25" s="1" t="s">
        <v>8</v>
      </c>
      <c r="J25" s="30" t="s">
        <v>8</v>
      </c>
      <c r="K25" s="1" t="s">
        <v>8</v>
      </c>
      <c r="L25" s="1" t="s">
        <v>23</v>
      </c>
      <c r="M25" s="1" t="s">
        <v>23</v>
      </c>
      <c r="N25" s="1" t="s">
        <v>23</v>
      </c>
      <c r="O25" s="1" t="s">
        <v>8</v>
      </c>
      <c r="P25" s="31" t="s">
        <v>54</v>
      </c>
      <c r="Q25" s="42"/>
      <c r="R25" s="31"/>
      <c r="S25" s="31"/>
      <c r="T25" s="31" t="s">
        <v>54</v>
      </c>
      <c r="U25" s="1"/>
      <c r="V2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  <c r="OJ25" s="5"/>
      <c r="OK25" s="5"/>
      <c r="OL25" s="5"/>
      <c r="OM25" s="5"/>
      <c r="ON25" s="5"/>
      <c r="OO25" s="5"/>
      <c r="OP25" s="5"/>
      <c r="OQ25" s="5"/>
      <c r="OR25" s="5"/>
      <c r="OS25" s="5"/>
      <c r="OT25" s="5"/>
      <c r="OU25" s="5"/>
      <c r="OV25" s="5"/>
      <c r="OW25" s="5"/>
      <c r="OX25" s="5"/>
      <c r="OY25" s="5"/>
      <c r="OZ25" s="5"/>
      <c r="PA25" s="5"/>
      <c r="PB25" s="5"/>
      <c r="PC25" s="5"/>
      <c r="PD25" s="5"/>
      <c r="PE25" s="5"/>
      <c r="PF25" s="5"/>
      <c r="PG25" s="5"/>
      <c r="PH25" s="5"/>
      <c r="PI25" s="5"/>
      <c r="PJ25" s="5"/>
      <c r="PK25" s="5"/>
      <c r="PL25" s="5"/>
      <c r="PM25" s="5"/>
      <c r="PN25" s="5"/>
      <c r="PO25" s="5"/>
      <c r="PP25" s="5"/>
      <c r="PQ25" s="5"/>
      <c r="PR25" s="5"/>
      <c r="PS25" s="5"/>
      <c r="PT25" s="5"/>
      <c r="PU25" s="5"/>
      <c r="PV25" s="5"/>
      <c r="PW25" s="5"/>
      <c r="PX25" s="5"/>
      <c r="PY25" s="5"/>
      <c r="PZ25" s="5"/>
      <c r="QA25" s="5"/>
      <c r="QB25" s="5"/>
      <c r="QC25" s="5"/>
      <c r="QD25" s="5"/>
      <c r="QE25" s="5"/>
      <c r="QF25" s="5"/>
      <c r="QG25" s="5"/>
      <c r="QH25" s="5"/>
      <c r="QI25" s="5"/>
      <c r="QJ25" s="5"/>
      <c r="QK25" s="5"/>
      <c r="QL25" s="5"/>
      <c r="QM25" s="5"/>
      <c r="QN25" s="5"/>
      <c r="QO25" s="5"/>
      <c r="QP25" s="5"/>
      <c r="QQ25" s="5"/>
      <c r="QR25" s="5"/>
      <c r="QS25" s="5"/>
      <c r="QT25" s="5"/>
      <c r="QU25" s="5"/>
      <c r="QV25" s="5"/>
      <c r="QW25" s="5"/>
      <c r="QX25" s="5"/>
      <c r="QY25" s="5"/>
      <c r="QZ25" s="5"/>
      <c r="RA25" s="5"/>
      <c r="RB25" s="5"/>
      <c r="RC25" s="5"/>
      <c r="RD25" s="5"/>
      <c r="RE25" s="5"/>
      <c r="RF25" s="5"/>
      <c r="RG25" s="5"/>
      <c r="RH25" s="5"/>
      <c r="RI25" s="5"/>
      <c r="RJ25" s="5"/>
      <c r="RK25" s="5"/>
      <c r="RL25" s="5"/>
      <c r="RM25" s="5"/>
      <c r="RN25" s="5"/>
      <c r="RO25" s="5"/>
      <c r="RP25" s="5"/>
      <c r="RQ25" s="5"/>
    </row>
    <row r="26" spans="1:485" s="3" customFormat="1" ht="21.5" thickBot="1" x14ac:dyDescent="0.55000000000000004">
      <c r="A26" s="32">
        <v>45363</v>
      </c>
      <c r="B26" s="33">
        <v>0</v>
      </c>
      <c r="C26" s="33">
        <v>0</v>
      </c>
      <c r="D26" s="1">
        <v>0</v>
      </c>
      <c r="E26" s="1">
        <v>20</v>
      </c>
      <c r="F26" s="1">
        <v>10</v>
      </c>
      <c r="G26" s="37">
        <f>E26*$C$3</f>
        <v>2.2949999999999999</v>
      </c>
      <c r="H26" s="35">
        <f>$F26+E26*$C$3</f>
        <v>12.295</v>
      </c>
      <c r="I26" s="36">
        <f>IF(B26=0,0,B26*$F26/H26*(C26/B26))</f>
        <v>0</v>
      </c>
      <c r="J26" s="37">
        <v>0.1</v>
      </c>
      <c r="K26" s="37">
        <v>0.1</v>
      </c>
      <c r="L26" s="37">
        <v>1</v>
      </c>
      <c r="M26" s="34">
        <v>1</v>
      </c>
      <c r="N26" s="34">
        <v>1.006</v>
      </c>
      <c r="O26" s="36">
        <f>(N26*J26-L26*K26)/M26</f>
        <v>6.0000000000000331E-4</v>
      </c>
      <c r="P26" s="37">
        <f>1000*(I26-O26)*H26*35.5/(E26-G26)/1000</f>
        <v>-1.4791499576390933E-2</v>
      </c>
      <c r="Q26" s="43">
        <v>0</v>
      </c>
      <c r="R26" s="39">
        <f>O26</f>
        <v>6.0000000000000331E-4</v>
      </c>
      <c r="S26" s="39"/>
      <c r="T26" s="1">
        <v>0</v>
      </c>
      <c r="U26" s="1"/>
      <c r="V26"/>
      <c r="W26" s="5"/>
      <c r="X26" s="5"/>
      <c r="Y26" s="5"/>
      <c r="Z26" s="5"/>
      <c r="AA26" s="5"/>
      <c r="AB26" s="5"/>
      <c r="AC26" s="5"/>
      <c r="AD26" s="5"/>
      <c r="AE26" s="5"/>
      <c r="AF26" s="50" t="s">
        <v>60</v>
      </c>
      <c r="AG26" s="1"/>
      <c r="AH26" s="1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  <c r="OJ26" s="5"/>
      <c r="OK26" s="5"/>
      <c r="OL26" s="5"/>
      <c r="OM26" s="5"/>
      <c r="ON26" s="5"/>
      <c r="OO26" s="5"/>
      <c r="OP26" s="5"/>
      <c r="OQ26" s="5"/>
      <c r="OR26" s="5"/>
      <c r="OS26" s="5"/>
      <c r="OT26" s="5"/>
      <c r="OU26" s="5"/>
      <c r="OV26" s="5"/>
      <c r="OW26" s="5"/>
      <c r="OX26" s="5"/>
      <c r="OY26" s="5"/>
      <c r="OZ26" s="5"/>
      <c r="PA26" s="5"/>
      <c r="PB26" s="5"/>
      <c r="PC26" s="5"/>
      <c r="PD26" s="5"/>
      <c r="PE26" s="5"/>
      <c r="PF26" s="5"/>
      <c r="PG26" s="5"/>
      <c r="PH26" s="5"/>
      <c r="PI26" s="5"/>
      <c r="PJ26" s="5"/>
      <c r="PK26" s="5"/>
      <c r="PL26" s="5"/>
      <c r="PM26" s="5"/>
      <c r="PN26" s="5"/>
      <c r="PO26" s="5"/>
      <c r="PP26" s="5"/>
      <c r="PQ26" s="5"/>
      <c r="PR26" s="5"/>
      <c r="PS26" s="5"/>
      <c r="PT26" s="5"/>
      <c r="PU26" s="5"/>
      <c r="PV26" s="5"/>
      <c r="PW26" s="5"/>
      <c r="PX26" s="5"/>
      <c r="PY26" s="5"/>
      <c r="PZ26" s="5"/>
      <c r="QA26" s="5"/>
      <c r="QB26" s="5"/>
      <c r="QC26" s="5"/>
      <c r="QD26" s="5"/>
      <c r="QE26" s="5"/>
      <c r="QF26" s="5"/>
      <c r="QG26" s="5"/>
      <c r="QH26" s="5"/>
      <c r="QI26" s="5"/>
      <c r="QJ26" s="5"/>
      <c r="QK26" s="5"/>
      <c r="QL26" s="5"/>
      <c r="QM26" s="5"/>
      <c r="QN26" s="5"/>
      <c r="QO26" s="5"/>
      <c r="QP26" s="5"/>
      <c r="QQ26" s="5"/>
      <c r="QR26" s="5"/>
      <c r="QS26" s="5"/>
      <c r="QT26" s="5"/>
      <c r="QU26" s="5"/>
      <c r="QV26" s="5"/>
      <c r="QW26" s="5"/>
      <c r="QX26" s="5"/>
      <c r="QY26" s="5"/>
      <c r="QZ26" s="5"/>
      <c r="RA26" s="5"/>
      <c r="RB26" s="5"/>
      <c r="RC26" s="5"/>
      <c r="RD26" s="5"/>
      <c r="RE26" s="5"/>
      <c r="RF26" s="5"/>
      <c r="RG26" s="5"/>
      <c r="RH26" s="5"/>
      <c r="RI26" s="5"/>
      <c r="RJ26" s="5"/>
      <c r="RK26" s="5"/>
      <c r="RL26" s="5"/>
      <c r="RM26" s="5"/>
      <c r="RN26" s="5"/>
      <c r="RO26" s="5"/>
      <c r="RP26" s="5"/>
      <c r="RQ26" s="5"/>
    </row>
    <row r="27" spans="1:485" s="4" customFormat="1" ht="21.5" thickBot="1" x14ac:dyDescent="0.55000000000000004">
      <c r="A27" s="32">
        <v>45363</v>
      </c>
      <c r="B27" s="38">
        <v>0.125</v>
      </c>
      <c r="C27" s="38">
        <f>(72.7/58.44)/10</f>
        <v>0.12440109514031486</v>
      </c>
      <c r="D27" s="1">
        <v>0</v>
      </c>
      <c r="E27" s="1">
        <v>20</v>
      </c>
      <c r="F27" s="1">
        <v>10</v>
      </c>
      <c r="G27" s="37">
        <f t="shared" ref="G27:G33" si="8">E27*$C$3</f>
        <v>2.2949999999999999</v>
      </c>
      <c r="H27" s="35">
        <f t="shared" ref="H27:H33" si="9">$F27+E27*$C$3</f>
        <v>12.295</v>
      </c>
      <c r="I27" s="36">
        <f t="shared" ref="I27:I33" si="10">IF(B27=0,0,B27*$F27/H27*(C27/B27))</f>
        <v>0.10118023191566887</v>
      </c>
      <c r="J27" s="37">
        <v>0.1</v>
      </c>
      <c r="K27" s="37">
        <v>0.1</v>
      </c>
      <c r="L27" s="37">
        <v>1</v>
      </c>
      <c r="M27" s="34">
        <v>1</v>
      </c>
      <c r="N27" s="34">
        <v>1.343</v>
      </c>
      <c r="O27" s="36">
        <f>(N27*J27-L27*K27)/M27</f>
        <v>3.4299999999999997E-2</v>
      </c>
      <c r="P27" s="37">
        <f t="shared" ref="P27:P33" si="11">1000*(I27-O27)*H27*35.5/(E27-G27)/1000</f>
        <v>1.6487648700825632</v>
      </c>
      <c r="Q27" s="43">
        <v>0.125</v>
      </c>
      <c r="R27" s="39">
        <f>AVERAGE(O27:O28)</f>
        <v>3.1950000000000006E-2</v>
      </c>
      <c r="S27" s="39">
        <f>ABS(O27-O28)</f>
        <v>4.699999999999982E-3</v>
      </c>
      <c r="T27" s="40">
        <f>AVERAGE(P27:P28)</f>
        <v>1.7066982434234272</v>
      </c>
      <c r="U27" s="40">
        <f>ABS(P27-P28)</f>
        <v>0.11586674668172803</v>
      </c>
      <c r="V27"/>
      <c r="W27" s="40">
        <f>LOG(R27)</f>
        <v>-1.495529137505581</v>
      </c>
      <c r="X27" s="40">
        <f>LOG(T27)</f>
        <v>0.23215674150090723</v>
      </c>
      <c r="Y27" s="40">
        <f>LOG(T27*1.57)</f>
        <v>0.42805639391014094</v>
      </c>
      <c r="Z27" s="5"/>
      <c r="AA27" s="5"/>
      <c r="AB27" s="5"/>
      <c r="AC27" s="5"/>
      <c r="AD27" s="5"/>
      <c r="AE27" s="5"/>
      <c r="AF27" s="1"/>
      <c r="AG27" s="1" t="s">
        <v>50</v>
      </c>
      <c r="AH27" s="1" t="s">
        <v>51</v>
      </c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5"/>
      <c r="NC27" s="5"/>
      <c r="ND27" s="5"/>
      <c r="NE27" s="5"/>
      <c r="NF27" s="5"/>
      <c r="NG27" s="5"/>
      <c r="NH27" s="5"/>
      <c r="NI27" s="5"/>
      <c r="NJ27" s="5"/>
      <c r="NK27" s="5"/>
      <c r="NL27" s="5"/>
      <c r="NM27" s="5"/>
      <c r="NN27" s="5"/>
      <c r="NO27" s="5"/>
      <c r="NP27" s="5"/>
      <c r="NQ27" s="5"/>
      <c r="NR27" s="5"/>
      <c r="NS27" s="5"/>
      <c r="NT27" s="5"/>
      <c r="NU27" s="5"/>
      <c r="NV27" s="5"/>
      <c r="NW27" s="5"/>
      <c r="NX27" s="5"/>
      <c r="NY27" s="5"/>
      <c r="NZ27" s="5"/>
      <c r="OA27" s="5"/>
      <c r="OB27" s="5"/>
      <c r="OC27" s="5"/>
      <c r="OD27" s="5"/>
      <c r="OE27" s="5"/>
      <c r="OF27" s="5"/>
      <c r="OG27" s="5"/>
      <c r="OH27" s="5"/>
      <c r="OI27" s="5"/>
      <c r="OJ27" s="5"/>
      <c r="OK27" s="5"/>
      <c r="OL27" s="5"/>
      <c r="OM27" s="5"/>
      <c r="ON27" s="5"/>
      <c r="OO27" s="5"/>
      <c r="OP27" s="5"/>
      <c r="OQ27" s="5"/>
      <c r="OR27" s="5"/>
      <c r="OS27" s="5"/>
      <c r="OT27" s="5"/>
      <c r="OU27" s="5"/>
      <c r="OV27" s="5"/>
      <c r="OW27" s="5"/>
      <c r="OX27" s="5"/>
      <c r="OY27" s="5"/>
      <c r="OZ27" s="5"/>
      <c r="PA27" s="5"/>
      <c r="PB27" s="5"/>
      <c r="PC27" s="5"/>
      <c r="PD27" s="5"/>
      <c r="PE27" s="5"/>
      <c r="PF27" s="5"/>
      <c r="PG27" s="5"/>
      <c r="PH27" s="5"/>
      <c r="PI27" s="5"/>
      <c r="PJ27" s="5"/>
      <c r="PK27" s="5"/>
      <c r="PL27" s="5"/>
      <c r="PM27" s="5"/>
      <c r="PN27" s="5"/>
      <c r="PO27" s="5"/>
      <c r="PP27" s="5"/>
      <c r="PQ27" s="5"/>
      <c r="PR27" s="5"/>
      <c r="PS27" s="5"/>
      <c r="PT27" s="5"/>
      <c r="PU27" s="5"/>
      <c r="PV27" s="5"/>
      <c r="PW27" s="5"/>
      <c r="PX27" s="5"/>
      <c r="PY27" s="5"/>
      <c r="PZ27" s="5"/>
      <c r="QA27" s="5"/>
      <c r="QB27" s="5"/>
      <c r="QC27" s="5"/>
      <c r="QD27" s="5"/>
      <c r="QE27" s="5"/>
      <c r="QF27" s="5"/>
      <c r="QG27" s="5"/>
      <c r="QH27" s="5"/>
      <c r="QI27" s="5"/>
      <c r="QJ27" s="5"/>
      <c r="QK27" s="5"/>
      <c r="QL27" s="5"/>
      <c r="QM27" s="5"/>
      <c r="QN27" s="5"/>
      <c r="QO27" s="5"/>
      <c r="QP27" s="5"/>
      <c r="QQ27" s="5"/>
      <c r="QR27" s="5"/>
      <c r="QS27" s="5"/>
      <c r="QT27" s="5"/>
      <c r="QU27" s="5"/>
      <c r="QV27" s="5"/>
      <c r="QW27" s="5"/>
      <c r="QX27" s="5"/>
      <c r="QY27" s="5"/>
      <c r="QZ27" s="5"/>
      <c r="RA27" s="5"/>
      <c r="RB27" s="5"/>
      <c r="RC27" s="5"/>
      <c r="RD27" s="5"/>
      <c r="RE27" s="5"/>
      <c r="RF27" s="5"/>
      <c r="RG27" s="5"/>
      <c r="RH27" s="5"/>
      <c r="RI27" s="5"/>
      <c r="RJ27" s="5"/>
      <c r="RK27" s="5"/>
      <c r="RL27" s="5"/>
      <c r="RM27" s="5"/>
      <c r="RN27" s="5"/>
      <c r="RO27" s="5"/>
      <c r="RP27" s="5"/>
      <c r="RQ27" s="5"/>
    </row>
    <row r="28" spans="1:485" s="21" customFormat="1" x14ac:dyDescent="0.5">
      <c r="A28" s="32">
        <v>45366</v>
      </c>
      <c r="B28" s="39">
        <v>0.125</v>
      </c>
      <c r="C28" s="38">
        <f>(72.7/58.44)/10</f>
        <v>0.12440109514031486</v>
      </c>
      <c r="D28" s="1">
        <v>0</v>
      </c>
      <c r="E28" s="1">
        <v>20</v>
      </c>
      <c r="F28" s="1">
        <v>10</v>
      </c>
      <c r="G28" s="37">
        <f t="shared" si="8"/>
        <v>2.2949999999999999</v>
      </c>
      <c r="H28" s="35">
        <f t="shared" si="9"/>
        <v>12.295</v>
      </c>
      <c r="I28" s="36">
        <f t="shared" si="10"/>
        <v>0.10118023191566887</v>
      </c>
      <c r="J28" s="37">
        <v>0.1</v>
      </c>
      <c r="K28" s="37">
        <v>0.1</v>
      </c>
      <c r="L28" s="37">
        <v>1</v>
      </c>
      <c r="M28" s="34">
        <v>1</v>
      </c>
      <c r="N28" s="34">
        <v>1.296</v>
      </c>
      <c r="O28" s="36">
        <f>(N28*J28-L28*K28)/M28</f>
        <v>2.9600000000000015E-2</v>
      </c>
      <c r="P28" s="37">
        <f t="shared" si="11"/>
        <v>1.7646316167642913</v>
      </c>
      <c r="Q28" s="43">
        <v>0.25</v>
      </c>
      <c r="R28" s="39">
        <f>O29</f>
        <v>9.2999999999999999E-2</v>
      </c>
      <c r="S28" s="39"/>
      <c r="T28" s="40">
        <f>P29</f>
        <v>2.6994397692156475</v>
      </c>
      <c r="U28" s="1"/>
      <c r="V28"/>
      <c r="W28" s="40">
        <f>LOG(R28)</f>
        <v>-1.031517051446065</v>
      </c>
      <c r="X28" s="40">
        <f>LOG(T28)</f>
        <v>0.43127364179462763</v>
      </c>
      <c r="Y28" s="40">
        <f t="shared" ref="Y28:Y31" si="12">LOG(T28*1.57)</f>
        <v>0.62717329420386136</v>
      </c>
      <c r="Z28" s="5"/>
      <c r="AA28" s="5"/>
      <c r="AB28" s="5"/>
      <c r="AC28" s="5"/>
      <c r="AD28" s="5"/>
      <c r="AE28" s="5"/>
      <c r="AF28" s="1" t="s">
        <v>25</v>
      </c>
      <c r="AG28" s="51">
        <f>10^0.81</f>
        <v>6.4565422903465572</v>
      </c>
      <c r="AH28" s="40">
        <v>0.87</v>
      </c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5"/>
      <c r="NH28" s="5"/>
      <c r="NI28" s="5"/>
      <c r="NJ28" s="5"/>
      <c r="NK28" s="5"/>
      <c r="NL28" s="5"/>
      <c r="NM28" s="5"/>
      <c r="NN28" s="5"/>
      <c r="NO28" s="5"/>
      <c r="NP28" s="5"/>
      <c r="NQ28" s="5"/>
      <c r="NR28" s="5"/>
      <c r="NS28" s="5"/>
      <c r="NT28" s="5"/>
      <c r="NU28" s="5"/>
      <c r="NV28" s="5"/>
      <c r="NW28" s="5"/>
      <c r="NX28" s="5"/>
      <c r="NY28" s="5"/>
      <c r="NZ28" s="5"/>
      <c r="OA28" s="5"/>
      <c r="OB28" s="5"/>
      <c r="OC28" s="5"/>
      <c r="OD28" s="5"/>
      <c r="OE28" s="5"/>
      <c r="OF28" s="5"/>
      <c r="OG28" s="5"/>
      <c r="OH28" s="5"/>
      <c r="OI28" s="5"/>
      <c r="OJ28" s="5"/>
      <c r="OK28" s="5"/>
      <c r="OL28" s="5"/>
      <c r="OM28" s="5"/>
      <c r="ON28" s="5"/>
      <c r="OO28" s="5"/>
      <c r="OP28" s="5"/>
      <c r="OQ28" s="5"/>
      <c r="OR28" s="5"/>
      <c r="OS28" s="5"/>
      <c r="OT28" s="5"/>
      <c r="OU28" s="5"/>
      <c r="OV28" s="5"/>
      <c r="OW28" s="5"/>
      <c r="OX28" s="5"/>
      <c r="OY28" s="5"/>
      <c r="OZ28" s="5"/>
      <c r="PA28" s="5"/>
      <c r="PB28" s="5"/>
      <c r="PC28" s="5"/>
      <c r="PD28" s="5"/>
      <c r="PE28" s="5"/>
      <c r="PF28" s="5"/>
      <c r="PG28" s="5"/>
      <c r="PH28" s="5"/>
      <c r="PI28" s="5"/>
      <c r="PJ28" s="5"/>
      <c r="PK28" s="5"/>
      <c r="PL28" s="5"/>
      <c r="PM28" s="5"/>
      <c r="PN28" s="5"/>
      <c r="PO28" s="5"/>
      <c r="PP28" s="5"/>
      <c r="PQ28" s="5"/>
      <c r="PR28" s="5"/>
      <c r="PS28" s="5"/>
      <c r="PT28" s="5"/>
      <c r="PU28" s="5"/>
      <c r="PV28" s="5"/>
      <c r="PW28" s="5"/>
      <c r="PX28" s="5"/>
      <c r="PY28" s="5"/>
      <c r="PZ28" s="5"/>
      <c r="QA28" s="5"/>
      <c r="QB28" s="5"/>
      <c r="QC28" s="5"/>
      <c r="QD28" s="5"/>
      <c r="QE28" s="5"/>
      <c r="QF28" s="5"/>
      <c r="QG28" s="5"/>
      <c r="QH28" s="5"/>
      <c r="QI28" s="5"/>
      <c r="QJ28" s="5"/>
      <c r="QK28" s="5"/>
      <c r="QL28" s="5"/>
      <c r="QM28" s="5"/>
      <c r="QN28" s="5"/>
      <c r="QO28" s="5"/>
      <c r="QP28" s="5"/>
      <c r="QQ28" s="5"/>
      <c r="QR28" s="5"/>
      <c r="QS28" s="5"/>
      <c r="QT28" s="5"/>
      <c r="QU28" s="5"/>
      <c r="QV28" s="5"/>
      <c r="QW28" s="5"/>
      <c r="QX28" s="5"/>
      <c r="QY28" s="5"/>
      <c r="QZ28" s="5"/>
      <c r="RA28" s="5"/>
      <c r="RB28" s="5"/>
      <c r="RC28" s="5"/>
      <c r="RD28" s="5"/>
      <c r="RE28" s="5"/>
      <c r="RF28" s="5"/>
      <c r="RG28" s="5"/>
      <c r="RH28" s="5"/>
      <c r="RI28" s="5"/>
      <c r="RJ28" s="5"/>
      <c r="RK28" s="5"/>
      <c r="RL28" s="5"/>
      <c r="RM28" s="5"/>
      <c r="RN28" s="5"/>
      <c r="RO28" s="5"/>
      <c r="RP28" s="5"/>
      <c r="RQ28" s="5"/>
    </row>
    <row r="29" spans="1:485" x14ac:dyDescent="0.5">
      <c r="A29" s="32">
        <v>45363</v>
      </c>
      <c r="B29" s="38">
        <v>0.25</v>
      </c>
      <c r="C29" s="38">
        <f>(145.5/58.44)/10</f>
        <v>0.24897330595482545</v>
      </c>
      <c r="D29" s="1">
        <v>0</v>
      </c>
      <c r="E29" s="1">
        <v>20</v>
      </c>
      <c r="F29" s="1">
        <v>10</v>
      </c>
      <c r="G29" s="37">
        <f t="shared" si="8"/>
        <v>2.2949999999999999</v>
      </c>
      <c r="H29" s="35">
        <f t="shared" si="9"/>
        <v>12.295</v>
      </c>
      <c r="I29" s="36">
        <f t="shared" si="10"/>
        <v>0.20249963884085032</v>
      </c>
      <c r="J29" s="37">
        <v>0.1</v>
      </c>
      <c r="K29" s="37">
        <v>0.1</v>
      </c>
      <c r="L29" s="37">
        <v>1</v>
      </c>
      <c r="M29" s="34">
        <v>1</v>
      </c>
      <c r="N29" s="34">
        <v>1.93</v>
      </c>
      <c r="O29" s="36">
        <f t="shared" ref="O29:O32" si="13">(N29*J29-L29*K29)/M29</f>
        <v>9.2999999999999999E-2</v>
      </c>
      <c r="P29" s="37">
        <f t="shared" si="11"/>
        <v>2.6994397692156475</v>
      </c>
      <c r="Q29" s="43">
        <v>0.5</v>
      </c>
      <c r="R29" s="39">
        <f>O30</f>
        <v>0.25630000000000003</v>
      </c>
      <c r="S29" s="39"/>
      <c r="T29" s="40">
        <f>P30</f>
        <v>3.8167733583091672</v>
      </c>
      <c r="U29" s="1"/>
      <c r="W29" s="40">
        <f>LOG(R29)</f>
        <v>-0.59125139381575598</v>
      </c>
      <c r="X29" s="40">
        <f>LOG(T29)</f>
        <v>0.58169637211623892</v>
      </c>
      <c r="Y29" s="40">
        <f t="shared" si="12"/>
        <v>0.77759602452547272</v>
      </c>
      <c r="AF29" s="1" t="s">
        <v>26</v>
      </c>
      <c r="AG29" s="51">
        <f>10^1.09</f>
        <v>12.302687708123818</v>
      </c>
      <c r="AH29" s="40">
        <v>0.45</v>
      </c>
    </row>
    <row r="30" spans="1:485" x14ac:dyDescent="0.5">
      <c r="A30" s="32">
        <v>45363</v>
      </c>
      <c r="B30" s="38">
        <v>0.5</v>
      </c>
      <c r="C30" s="38">
        <f>(295.4/58.44)/10</f>
        <v>0.50547570157426425</v>
      </c>
      <c r="D30" s="1">
        <v>0</v>
      </c>
      <c r="E30" s="1">
        <v>20</v>
      </c>
      <c r="F30" s="1">
        <v>10</v>
      </c>
      <c r="G30" s="37">
        <f t="shared" si="8"/>
        <v>2.2949999999999999</v>
      </c>
      <c r="H30" s="35">
        <f t="shared" si="9"/>
        <v>12.295</v>
      </c>
      <c r="I30" s="36">
        <f t="shared" si="10"/>
        <v>0.41112297810025561</v>
      </c>
      <c r="J30" s="37">
        <v>0.1</v>
      </c>
      <c r="K30" s="37">
        <v>0.1</v>
      </c>
      <c r="L30" s="37">
        <v>0</v>
      </c>
      <c r="M30" s="34">
        <v>1</v>
      </c>
      <c r="N30" s="34">
        <v>2.5630000000000002</v>
      </c>
      <c r="O30" s="36">
        <f t="shared" si="13"/>
        <v>0.25630000000000003</v>
      </c>
      <c r="P30" s="37">
        <f t="shared" si="11"/>
        <v>3.8167733583091672</v>
      </c>
      <c r="Q30" s="43">
        <v>1</v>
      </c>
      <c r="R30" s="39">
        <f>AVERAGE(O31:O32)</f>
        <v>0.58135000000000003</v>
      </c>
      <c r="S30" s="39">
        <f>ABS(O31-O32)</f>
        <v>1.8499999999999961E-2</v>
      </c>
      <c r="T30" s="40">
        <f>AVERAGE(P31:P32)</f>
        <v>5.8391880472681326</v>
      </c>
      <c r="U30" s="40">
        <f>ABS(P31-P32)</f>
        <v>0.45607123693871632</v>
      </c>
      <c r="W30" s="40">
        <f>LOG(R30)</f>
        <v>-0.23556232319832987</v>
      </c>
      <c r="X30" s="40">
        <f>LOG(T30)</f>
        <v>0.76635246164893112</v>
      </c>
      <c r="Y30" s="40">
        <f t="shared" si="12"/>
        <v>0.9622521140581648</v>
      </c>
      <c r="AF30" s="1" t="s">
        <v>27</v>
      </c>
      <c r="AG30" s="51">
        <f>10^1.09</f>
        <v>12.302687708123818</v>
      </c>
      <c r="AH30" s="40">
        <v>0.4</v>
      </c>
    </row>
    <row r="31" spans="1:485" x14ac:dyDescent="0.5">
      <c r="A31" s="32">
        <v>45363</v>
      </c>
      <c r="B31" s="38">
        <v>1</v>
      </c>
      <c r="C31" s="38">
        <f>(587.9/58.44)/10</f>
        <v>1.0059890485968515</v>
      </c>
      <c r="D31" s="1">
        <v>0</v>
      </c>
      <c r="E31" s="1">
        <v>20</v>
      </c>
      <c r="F31" s="1">
        <v>10</v>
      </c>
      <c r="G31" s="37">
        <f t="shared" si="8"/>
        <v>2.2949999999999999</v>
      </c>
      <c r="H31" s="35">
        <f t="shared" si="9"/>
        <v>12.295</v>
      </c>
      <c r="I31" s="36">
        <f t="shared" si="10"/>
        <v>0.81820988092464542</v>
      </c>
      <c r="J31" s="37">
        <v>0.1</v>
      </c>
      <c r="K31" s="37">
        <v>0.1</v>
      </c>
      <c r="L31" s="37">
        <v>0</v>
      </c>
      <c r="M31" s="34">
        <v>1</v>
      </c>
      <c r="N31" s="34">
        <v>5.7210000000000001</v>
      </c>
      <c r="O31" s="36">
        <f t="shared" si="13"/>
        <v>0.57210000000000005</v>
      </c>
      <c r="P31" s="37">
        <f t="shared" si="11"/>
        <v>6.0672236657374903</v>
      </c>
      <c r="Q31" s="43">
        <v>2</v>
      </c>
      <c r="R31" s="39">
        <f>O33</f>
        <v>1.2465000000000002</v>
      </c>
      <c r="S31" s="39"/>
      <c r="T31" s="40">
        <f>P33</f>
        <v>9.3723258260378408</v>
      </c>
      <c r="U31" s="1"/>
      <c r="W31" s="40">
        <f>LOG(R31)</f>
        <v>9.5692282839792295E-2</v>
      </c>
      <c r="X31" s="40">
        <f>LOG(T31)</f>
        <v>0.97184737830206847</v>
      </c>
      <c r="Y31" s="40">
        <f t="shared" si="12"/>
        <v>1.1677470307113023</v>
      </c>
    </row>
    <row r="32" spans="1:485" x14ac:dyDescent="0.5">
      <c r="A32" s="32">
        <v>45366</v>
      </c>
      <c r="B32" s="38">
        <v>1</v>
      </c>
      <c r="C32" s="38">
        <f>(587.9/58.44)/10</f>
        <v>1.0059890485968515</v>
      </c>
      <c r="D32" s="1">
        <v>0</v>
      </c>
      <c r="E32" s="1">
        <v>20</v>
      </c>
      <c r="F32" s="1">
        <v>10</v>
      </c>
      <c r="G32" s="37">
        <f t="shared" si="8"/>
        <v>2.2949999999999999</v>
      </c>
      <c r="H32" s="35">
        <f t="shared" si="9"/>
        <v>12.295</v>
      </c>
      <c r="I32" s="36">
        <f t="shared" si="10"/>
        <v>0.81820988092464542</v>
      </c>
      <c r="J32" s="37">
        <v>0.1</v>
      </c>
      <c r="K32" s="37">
        <v>0.1</v>
      </c>
      <c r="L32" s="37">
        <v>0</v>
      </c>
      <c r="M32" s="34">
        <v>0.5</v>
      </c>
      <c r="N32" s="34">
        <v>2.9529999999999998</v>
      </c>
      <c r="O32" s="36">
        <f t="shared" si="13"/>
        <v>0.59060000000000001</v>
      </c>
      <c r="P32" s="37">
        <f t="shared" si="11"/>
        <v>5.611152428798774</v>
      </c>
      <c r="Q32" s="20"/>
      <c r="R32" s="20"/>
      <c r="S32" s="20"/>
      <c r="T32" s="15"/>
    </row>
    <row r="33" spans="1:25" x14ac:dyDescent="0.5">
      <c r="A33" s="32">
        <v>45363</v>
      </c>
      <c r="B33" s="39">
        <v>2</v>
      </c>
      <c r="C33" s="38">
        <f>(1168.8/58.44)/10</f>
        <v>2</v>
      </c>
      <c r="D33" s="1">
        <v>0</v>
      </c>
      <c r="E33" s="1">
        <v>20</v>
      </c>
      <c r="F33" s="1">
        <v>10</v>
      </c>
      <c r="G33" s="37">
        <f t="shared" si="8"/>
        <v>2.2949999999999999</v>
      </c>
      <c r="H33" s="35">
        <f t="shared" si="9"/>
        <v>12.295</v>
      </c>
      <c r="I33" s="36">
        <f t="shared" si="10"/>
        <v>1.626677511183408</v>
      </c>
      <c r="J33" s="37">
        <v>0.1</v>
      </c>
      <c r="K33" s="37">
        <v>0.1</v>
      </c>
      <c r="L33" s="37">
        <v>0</v>
      </c>
      <c r="M33" s="34">
        <v>1</v>
      </c>
      <c r="N33" s="34">
        <v>12.465</v>
      </c>
      <c r="O33" s="36">
        <f>(N33*J33-L33*K33)/M33</f>
        <v>1.2465000000000002</v>
      </c>
      <c r="P33" s="37">
        <f t="shared" si="11"/>
        <v>9.3723258260378408</v>
      </c>
      <c r="Q33" s="20"/>
      <c r="R33" s="20"/>
      <c r="S33" s="20"/>
      <c r="T33" s="15"/>
    </row>
    <row r="34" spans="1:25" s="5" customFormat="1" x14ac:dyDescent="0.5">
      <c r="B34" s="8"/>
      <c r="C34" s="12"/>
      <c r="G34" s="13"/>
      <c r="H34" s="14"/>
      <c r="I34" s="17"/>
      <c r="J34" s="15"/>
      <c r="K34" s="15"/>
      <c r="L34" s="15"/>
      <c r="M34" s="13"/>
      <c r="N34" s="13"/>
      <c r="O34" s="17"/>
      <c r="P34" s="15"/>
      <c r="Q34" s="20"/>
      <c r="R34" s="20"/>
      <c r="S34" s="20"/>
      <c r="T34" s="15"/>
      <c r="V34"/>
    </row>
    <row r="35" spans="1:25" customFormat="1" x14ac:dyDescent="0.5">
      <c r="Q35" s="5"/>
      <c r="R35" s="5"/>
      <c r="S35" s="5"/>
      <c r="W35" s="5"/>
      <c r="X35" s="5"/>
    </row>
    <row r="36" spans="1:25" x14ac:dyDescent="0.5">
      <c r="B36" s="46" t="s">
        <v>27</v>
      </c>
      <c r="Q36" s="11"/>
      <c r="R36" s="11"/>
      <c r="S36" s="11"/>
    </row>
    <row r="37" spans="1:25" ht="24" x14ac:dyDescent="0.65">
      <c r="A37" s="1"/>
      <c r="B37" s="28" t="s">
        <v>20</v>
      </c>
      <c r="C37" s="28"/>
      <c r="D37" s="1"/>
      <c r="E37" s="28" t="s">
        <v>16</v>
      </c>
      <c r="F37" s="28"/>
      <c r="G37" s="28" t="s">
        <v>19</v>
      </c>
      <c r="H37" s="28" t="s">
        <v>12</v>
      </c>
      <c r="I37" s="28" t="s">
        <v>13</v>
      </c>
      <c r="J37" s="1"/>
      <c r="K37" s="1"/>
      <c r="L37" s="1"/>
      <c r="M37" s="1"/>
      <c r="N37" s="28"/>
      <c r="O37" s="28" t="s">
        <v>14</v>
      </c>
      <c r="P37" s="29" t="s">
        <v>17</v>
      </c>
      <c r="Q37" s="31"/>
      <c r="R37" s="31"/>
      <c r="S37" s="31"/>
      <c r="T37" s="29" t="s">
        <v>17</v>
      </c>
      <c r="U37" s="1"/>
    </row>
    <row r="38" spans="1:25" ht="24" x14ac:dyDescent="0.65">
      <c r="A38" s="1"/>
      <c r="B38" s="1" t="s">
        <v>0</v>
      </c>
      <c r="C38" s="1" t="s">
        <v>0</v>
      </c>
      <c r="D38" s="1" t="s">
        <v>2</v>
      </c>
      <c r="E38" s="1" t="s">
        <v>3</v>
      </c>
      <c r="F38" s="1"/>
      <c r="G38" s="1"/>
      <c r="H38" s="1" t="s">
        <v>5</v>
      </c>
      <c r="I38" s="30" t="s">
        <v>7</v>
      </c>
      <c r="J38" s="1" t="s">
        <v>15</v>
      </c>
      <c r="K38" s="1" t="s">
        <v>1</v>
      </c>
      <c r="L38" s="1" t="s">
        <v>1</v>
      </c>
      <c r="M38" s="30" t="s">
        <v>10</v>
      </c>
      <c r="N38" s="1" t="s">
        <v>22</v>
      </c>
      <c r="O38" s="1" t="s">
        <v>11</v>
      </c>
      <c r="P38" s="31" t="s">
        <v>18</v>
      </c>
      <c r="Q38" s="31"/>
      <c r="R38" s="31"/>
      <c r="S38" s="31"/>
      <c r="T38" s="31" t="s">
        <v>18</v>
      </c>
      <c r="U38" s="1"/>
    </row>
    <row r="39" spans="1:25" x14ac:dyDescent="0.5">
      <c r="A39" s="1"/>
      <c r="B39" s="1" t="s">
        <v>9</v>
      </c>
      <c r="C39" s="1" t="s">
        <v>24</v>
      </c>
      <c r="D39" s="1"/>
      <c r="E39" s="1" t="s">
        <v>6</v>
      </c>
      <c r="F39" s="1"/>
      <c r="G39" s="1"/>
      <c r="H39" s="1" t="s">
        <v>23</v>
      </c>
      <c r="I39" s="1" t="s">
        <v>8</v>
      </c>
      <c r="J39" s="30" t="s">
        <v>8</v>
      </c>
      <c r="K39" s="1" t="s">
        <v>8</v>
      </c>
      <c r="L39" s="1" t="s">
        <v>23</v>
      </c>
      <c r="M39" s="1" t="s">
        <v>23</v>
      </c>
      <c r="N39" s="1" t="s">
        <v>23</v>
      </c>
      <c r="O39" s="1" t="s">
        <v>8</v>
      </c>
      <c r="P39" s="31" t="s">
        <v>54</v>
      </c>
      <c r="Q39" s="1"/>
      <c r="R39" s="1"/>
      <c r="S39" s="1"/>
      <c r="T39" s="31" t="s">
        <v>54</v>
      </c>
      <c r="U39" s="1"/>
    </row>
    <row r="40" spans="1:25" x14ac:dyDescent="0.5">
      <c r="A40" s="32">
        <v>45363</v>
      </c>
      <c r="B40" s="33">
        <v>0</v>
      </c>
      <c r="C40" s="33">
        <v>0</v>
      </c>
      <c r="D40" s="1">
        <v>0</v>
      </c>
      <c r="E40" s="1">
        <v>20</v>
      </c>
      <c r="F40" s="1">
        <v>10</v>
      </c>
      <c r="G40" s="37">
        <f>E40*$C$4</f>
        <v>2.9849999999999999</v>
      </c>
      <c r="H40" s="35">
        <f>$F40+E40*$C$4</f>
        <v>12.984999999999999</v>
      </c>
      <c r="I40" s="36">
        <f>IF(B40=0,0,B40*$F40/H40*(C40/B40))</f>
        <v>0</v>
      </c>
      <c r="J40" s="37">
        <v>0.1</v>
      </c>
      <c r="K40" s="37">
        <v>0.1</v>
      </c>
      <c r="L40" s="37">
        <v>1</v>
      </c>
      <c r="M40" s="34">
        <v>0.5</v>
      </c>
      <c r="N40" s="34">
        <v>1.0029999999999999</v>
      </c>
      <c r="O40" s="36">
        <f>(N40*J40-L40*K40)/M40</f>
        <v>5.9999999999998943E-4</v>
      </c>
      <c r="P40" s="37">
        <f>1000*(I40-O40)*H40*35.5/(E40-G40)/1000</f>
        <v>-1.6255098442550405E-2</v>
      </c>
      <c r="Q40" s="39">
        <v>0</v>
      </c>
      <c r="R40" s="39">
        <f>O40</f>
        <v>5.9999999999998943E-4</v>
      </c>
      <c r="S40" s="39"/>
      <c r="T40" s="1">
        <v>0</v>
      </c>
      <c r="U40" s="1"/>
    </row>
    <row r="41" spans="1:25" x14ac:dyDescent="0.5">
      <c r="A41" s="32">
        <v>45363</v>
      </c>
      <c r="B41" s="38">
        <v>0.125</v>
      </c>
      <c r="C41" s="38">
        <f>(75.1/58.44)/10</f>
        <v>0.12850787132101299</v>
      </c>
      <c r="D41" s="1">
        <v>0</v>
      </c>
      <c r="E41" s="1">
        <v>20</v>
      </c>
      <c r="F41" s="1">
        <v>10</v>
      </c>
      <c r="G41" s="37">
        <f t="shared" ref="G41:G47" si="14">E41*$C$4</f>
        <v>2.9849999999999999</v>
      </c>
      <c r="H41" s="35">
        <f t="shared" ref="H41:H47" si="15">$F41+E41*$C$4</f>
        <v>12.984999999999999</v>
      </c>
      <c r="I41" s="36">
        <f t="shared" ref="I41:I46" si="16">IF(B41=0,0,B41*$F41/H41*(C41/B41))</f>
        <v>9.8966400709289942E-2</v>
      </c>
      <c r="J41" s="37">
        <v>0.1</v>
      </c>
      <c r="K41" s="37">
        <v>0.1</v>
      </c>
      <c r="L41" s="37">
        <v>1</v>
      </c>
      <c r="M41" s="34">
        <v>0.5</v>
      </c>
      <c r="N41" s="34">
        <v>1.1399999999999999</v>
      </c>
      <c r="O41" s="36">
        <f>(N41*J41-L41*K41)/M41</f>
        <v>2.7999999999999969E-2</v>
      </c>
      <c r="P41" s="37">
        <f t="shared" ref="P41:P47" si="17">1000*(I41-O41)*H41*35.5/(E41-G41)/1000</f>
        <v>1.9226097160716793</v>
      </c>
      <c r="Q41" s="39">
        <v>0.125</v>
      </c>
      <c r="R41" s="39">
        <f>AVERAGE(O41:O42)</f>
        <v>2.9999999999999971E-2</v>
      </c>
      <c r="S41" s="39">
        <f>ABS(O41-O42)</f>
        <v>4.0000000000000036E-3</v>
      </c>
      <c r="T41" s="40">
        <f>AVERAGE(P41:P42)</f>
        <v>1.8684260545965103</v>
      </c>
      <c r="U41" s="40">
        <f>ABS(P41-P42)</f>
        <v>0.10836732295033791</v>
      </c>
      <c r="W41" s="40">
        <f>LOG(R41)</f>
        <v>-1.5228787452803381</v>
      </c>
      <c r="X41" s="40">
        <f>LOG(T41)</f>
        <v>0.27147591475393701</v>
      </c>
      <c r="Y41" s="40">
        <f>LOG(T41*1.6)</f>
        <v>0.4755958974098618</v>
      </c>
    </row>
    <row r="42" spans="1:25" x14ac:dyDescent="0.5">
      <c r="A42" s="32">
        <v>45366</v>
      </c>
      <c r="B42" s="38">
        <v>0.125</v>
      </c>
      <c r="C42" s="38">
        <f>(75.1/58.44)/10</f>
        <v>0.12850787132101299</v>
      </c>
      <c r="D42" s="1">
        <v>0</v>
      </c>
      <c r="E42" s="1">
        <v>20</v>
      </c>
      <c r="F42" s="1">
        <v>10</v>
      </c>
      <c r="G42" s="37">
        <f t="shared" si="14"/>
        <v>2.9849999999999999</v>
      </c>
      <c r="H42" s="35">
        <f t="shared" si="15"/>
        <v>12.984999999999999</v>
      </c>
      <c r="I42" s="36">
        <f t="shared" si="16"/>
        <v>9.8966400709289942E-2</v>
      </c>
      <c r="J42" s="37">
        <v>0.1</v>
      </c>
      <c r="K42" s="37">
        <v>0.1</v>
      </c>
      <c r="L42" s="37">
        <v>1</v>
      </c>
      <c r="M42" s="34">
        <v>0.5</v>
      </c>
      <c r="N42" s="34">
        <v>1.1599999999999999</v>
      </c>
      <c r="O42" s="36">
        <f>(N42*J42-L42*K42)/M42</f>
        <v>3.1999999999999973E-2</v>
      </c>
      <c r="P42" s="37">
        <f t="shared" si="17"/>
        <v>1.8142423931213414</v>
      </c>
      <c r="Q42" s="39">
        <v>0.25</v>
      </c>
      <c r="R42" s="39">
        <f>O43</f>
        <v>7.6600000000000001E-2</v>
      </c>
      <c r="S42" s="39"/>
      <c r="T42" s="40">
        <f>P43</f>
        <v>3.1086203303523092</v>
      </c>
      <c r="U42" s="1"/>
      <c r="W42" s="40">
        <f>LOG(R42)</f>
        <v>-1.1157712303673961</v>
      </c>
      <c r="X42" s="40">
        <f>LOG(T42)</f>
        <v>0.49256768296252029</v>
      </c>
      <c r="Y42" s="40">
        <f t="shared" ref="Y42:Y45" si="18">LOG(T42*1.6)</f>
        <v>0.6966876656184452</v>
      </c>
    </row>
    <row r="43" spans="1:25" x14ac:dyDescent="0.5">
      <c r="A43" s="32">
        <v>45363</v>
      </c>
      <c r="B43" s="38">
        <v>0.25</v>
      </c>
      <c r="C43" s="38">
        <f>(145.2/58.44)/10</f>
        <v>0.24845995893223818</v>
      </c>
      <c r="D43" s="1">
        <v>0</v>
      </c>
      <c r="E43" s="1">
        <v>20</v>
      </c>
      <c r="F43" s="1">
        <v>10</v>
      </c>
      <c r="G43" s="37">
        <f t="shared" si="14"/>
        <v>2.9849999999999999</v>
      </c>
      <c r="H43" s="35">
        <f t="shared" si="15"/>
        <v>12.984999999999999</v>
      </c>
      <c r="I43" s="36">
        <f t="shared" si="16"/>
        <v>0.1913438266709574</v>
      </c>
      <c r="J43" s="37">
        <v>0.1</v>
      </c>
      <c r="K43" s="37">
        <v>0.1</v>
      </c>
      <c r="L43" s="37">
        <v>1</v>
      </c>
      <c r="M43" s="34">
        <v>0.5</v>
      </c>
      <c r="N43" s="34">
        <v>1.383</v>
      </c>
      <c r="O43" s="36">
        <f t="shared" ref="O43:O46" si="19">(N43*J43-L43*K43)/M43</f>
        <v>7.6600000000000001E-2</v>
      </c>
      <c r="P43" s="37">
        <f t="shared" si="17"/>
        <v>3.1086203303523092</v>
      </c>
      <c r="Q43" s="39">
        <v>0.5</v>
      </c>
      <c r="R43" s="39">
        <f>O44</f>
        <v>0.24220000000000003</v>
      </c>
      <c r="S43" s="39"/>
      <c r="T43" s="40">
        <f>P44</f>
        <v>3.8024975772876655</v>
      </c>
      <c r="U43" s="1"/>
      <c r="W43" s="40">
        <f>LOG(R43)</f>
        <v>-0.61582586119296656</v>
      </c>
      <c r="X43" s="40">
        <f>LOG(T43)</f>
        <v>0.58006894601999115</v>
      </c>
      <c r="Y43" s="40">
        <f t="shared" si="18"/>
        <v>0.78418892867591594</v>
      </c>
    </row>
    <row r="44" spans="1:25" x14ac:dyDescent="0.5">
      <c r="A44" s="32">
        <v>45363</v>
      </c>
      <c r="B44" s="38">
        <v>0.5</v>
      </c>
      <c r="C44" s="38">
        <f>(290.3/58.44)/10</f>
        <v>0.49674880219028072</v>
      </c>
      <c r="D44" s="1">
        <v>0</v>
      </c>
      <c r="E44" s="1">
        <v>20</v>
      </c>
      <c r="F44" s="1">
        <v>10</v>
      </c>
      <c r="G44" s="37">
        <f t="shared" si="14"/>
        <v>2.9849999999999999</v>
      </c>
      <c r="H44" s="35">
        <f t="shared" si="15"/>
        <v>12.984999999999999</v>
      </c>
      <c r="I44" s="36">
        <f t="shared" si="16"/>
        <v>0.38255587384696244</v>
      </c>
      <c r="J44" s="37">
        <v>0.1</v>
      </c>
      <c r="K44" s="37">
        <v>0.1</v>
      </c>
      <c r="L44" s="37">
        <v>0</v>
      </c>
      <c r="M44" s="34">
        <v>0.5</v>
      </c>
      <c r="N44" s="34">
        <v>1.2110000000000001</v>
      </c>
      <c r="O44" s="36">
        <f t="shared" si="19"/>
        <v>0.24220000000000003</v>
      </c>
      <c r="P44" s="37">
        <f t="shared" si="17"/>
        <v>3.8024975772876655</v>
      </c>
      <c r="Q44" s="39">
        <v>1</v>
      </c>
      <c r="R44" s="39">
        <f>AVERAGE(O45:O46)</f>
        <v>0.55610000000000004</v>
      </c>
      <c r="S44" s="39">
        <f>ABS(O45-O46)</f>
        <v>1.3400000000000079E-2</v>
      </c>
      <c r="T44" s="40">
        <f>AVERAGE(P45:P46)</f>
        <v>5.8517287226031378</v>
      </c>
      <c r="U44" s="40">
        <f>ABS(P45-P46)</f>
        <v>0.36303053188363421</v>
      </c>
      <c r="W44" s="40">
        <f>LOG(R44)</f>
        <v>-0.25484710492309964</v>
      </c>
      <c r="X44" s="40">
        <f>LOG(T44)</f>
        <v>0.76728418467690152</v>
      </c>
      <c r="Y44" s="40">
        <f t="shared" si="18"/>
        <v>0.97140416733282631</v>
      </c>
    </row>
    <row r="45" spans="1:25" x14ac:dyDescent="0.5">
      <c r="A45" s="32">
        <v>45363</v>
      </c>
      <c r="B45" s="38">
        <v>1</v>
      </c>
      <c r="C45" s="38">
        <f>(585.9/58.44)/10</f>
        <v>1.0025667351129364</v>
      </c>
      <c r="D45" s="1">
        <v>0</v>
      </c>
      <c r="E45" s="1">
        <v>20</v>
      </c>
      <c r="F45" s="1">
        <v>10</v>
      </c>
      <c r="G45" s="37">
        <f t="shared" si="14"/>
        <v>2.9849999999999999</v>
      </c>
      <c r="H45" s="35">
        <f t="shared" si="15"/>
        <v>12.984999999999999</v>
      </c>
      <c r="I45" s="36">
        <f t="shared" si="16"/>
        <v>0.77209606092640459</v>
      </c>
      <c r="J45" s="37">
        <v>0.1</v>
      </c>
      <c r="K45" s="37">
        <v>0.1</v>
      </c>
      <c r="L45" s="37">
        <v>0</v>
      </c>
      <c r="M45" s="34">
        <v>0.5</v>
      </c>
      <c r="N45" s="34">
        <v>2.7469999999999999</v>
      </c>
      <c r="O45" s="36">
        <f t="shared" si="19"/>
        <v>0.5494</v>
      </c>
      <c r="P45" s="37">
        <f t="shared" si="17"/>
        <v>6.0332439885449549</v>
      </c>
      <c r="Q45" s="39">
        <v>2</v>
      </c>
      <c r="R45" s="39">
        <f>O47</f>
        <v>1.2064000000000001</v>
      </c>
      <c r="S45" s="39"/>
      <c r="T45" s="40">
        <f>P47</f>
        <v>8.8800757590586628</v>
      </c>
      <c r="U45" s="1"/>
      <c r="W45" s="40">
        <f>LOG(R45)</f>
        <v>8.1491328525698889E-2</v>
      </c>
      <c r="X45" s="40">
        <f>LOG(T45)</f>
        <v>0.94841667091382431</v>
      </c>
      <c r="Y45" s="40">
        <f t="shared" si="18"/>
        <v>1.1525366535697492</v>
      </c>
    </row>
    <row r="46" spans="1:25" x14ac:dyDescent="0.5">
      <c r="A46" s="32">
        <v>45366</v>
      </c>
      <c r="B46" s="38">
        <v>1</v>
      </c>
      <c r="C46" s="38">
        <f>(585.9/58.44)/10</f>
        <v>1.0025667351129364</v>
      </c>
      <c r="D46" s="1">
        <v>0</v>
      </c>
      <c r="E46" s="1">
        <v>20</v>
      </c>
      <c r="F46" s="1">
        <v>10</v>
      </c>
      <c r="G46" s="37">
        <f t="shared" si="14"/>
        <v>2.9849999999999999</v>
      </c>
      <c r="H46" s="35">
        <f t="shared" si="15"/>
        <v>12.984999999999999</v>
      </c>
      <c r="I46" s="36">
        <f t="shared" si="16"/>
        <v>0.77209606092640459</v>
      </c>
      <c r="J46" s="37">
        <v>0.1</v>
      </c>
      <c r="K46" s="37">
        <v>0.1</v>
      </c>
      <c r="L46" s="37">
        <v>0</v>
      </c>
      <c r="M46" s="34">
        <v>0.5</v>
      </c>
      <c r="N46" s="34">
        <v>2.8140000000000001</v>
      </c>
      <c r="O46" s="36">
        <f t="shared" si="19"/>
        <v>0.56280000000000008</v>
      </c>
      <c r="P46" s="37">
        <f t="shared" si="17"/>
        <v>5.6702134566613207</v>
      </c>
      <c r="Q46" s="20"/>
      <c r="R46" s="20"/>
      <c r="S46" s="20"/>
      <c r="T46" s="15"/>
    </row>
    <row r="47" spans="1:25" x14ac:dyDescent="0.5">
      <c r="A47" s="32">
        <v>45363</v>
      </c>
      <c r="B47" s="39">
        <v>2</v>
      </c>
      <c r="C47" s="38">
        <f>(1164.2/58.44)/10</f>
        <v>1.9921286789869952</v>
      </c>
      <c r="D47" s="1">
        <v>0</v>
      </c>
      <c r="E47" s="1">
        <v>20</v>
      </c>
      <c r="F47" s="1">
        <v>10</v>
      </c>
      <c r="G47" s="37">
        <f t="shared" si="14"/>
        <v>2.9849999999999999</v>
      </c>
      <c r="H47" s="35">
        <f t="shared" si="15"/>
        <v>12.984999999999999</v>
      </c>
      <c r="I47" s="36">
        <f>IF(B47=0,0,B47*$F47/H47*(C47/B47))</f>
        <v>1.5341768802364228</v>
      </c>
      <c r="J47" s="37">
        <v>0.1</v>
      </c>
      <c r="K47" s="37">
        <v>0.1</v>
      </c>
      <c r="L47" s="37">
        <v>0</v>
      </c>
      <c r="M47" s="34">
        <v>0.5</v>
      </c>
      <c r="N47" s="34">
        <v>6.032</v>
      </c>
      <c r="O47" s="36">
        <f>(N47*J47-L47*K47)/M47</f>
        <v>1.2064000000000001</v>
      </c>
      <c r="P47" s="37">
        <f t="shared" si="17"/>
        <v>8.8800757590586628</v>
      </c>
      <c r="Q47" s="20"/>
      <c r="R47" s="20"/>
      <c r="S47" s="20"/>
      <c r="T47" s="15"/>
    </row>
    <row r="48" spans="1:25" x14ac:dyDescent="0.5">
      <c r="B48" s="12"/>
      <c r="C48" s="12"/>
      <c r="G48" s="13"/>
      <c r="H48" s="14"/>
      <c r="I48" s="17"/>
      <c r="J48" s="15"/>
      <c r="K48" s="15"/>
      <c r="L48" s="15"/>
      <c r="M48" s="13"/>
      <c r="N48" s="13"/>
      <c r="O48" s="17"/>
      <c r="P48" s="15"/>
      <c r="Q48" s="5"/>
      <c r="R48" s="44" t="s">
        <v>47</v>
      </c>
      <c r="S48" s="45">
        <f>AVERAGE(S12:S45)</f>
        <v>1.0100000000000007E-2</v>
      </c>
      <c r="T48" s="39"/>
      <c r="U48" s="45">
        <f>AVERAGE(U12:U45)</f>
        <v>0.24575152625012667</v>
      </c>
    </row>
    <row r="49" spans="2:19" x14ac:dyDescent="0.5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 s="11"/>
      <c r="R49" s="11"/>
      <c r="S49" s="11"/>
    </row>
    <row r="50" spans="2:19" x14ac:dyDescent="0.5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 s="6"/>
      <c r="R50" s="6"/>
      <c r="S50" s="6"/>
    </row>
    <row r="51" spans="2:19" x14ac:dyDescent="0.5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2:19" x14ac:dyDescent="0.5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2:19" x14ac:dyDescent="0.5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</row>
  </sheetData>
  <pageMargins left="0.75" right="0.75" top="1" bottom="1" header="0.5" footer="0.5"/>
  <pageSetup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3904F-2300-4996-8A7F-7290EA8C2770}">
  <dimension ref="A1:U219"/>
  <sheetViews>
    <sheetView zoomScaleNormal="100" workbookViewId="0">
      <selection activeCell="F27" sqref="F27"/>
    </sheetView>
  </sheetViews>
  <sheetFormatPr defaultColWidth="8.83203125" defaultRowHeight="15.5" x14ac:dyDescent="0.35"/>
  <cols>
    <col min="1" max="3" width="10.08203125" bestFit="1" customWidth="1"/>
  </cols>
  <sheetData>
    <row r="1" spans="1:21" x14ac:dyDescent="0.35">
      <c r="C1" t="s">
        <v>6</v>
      </c>
      <c r="M1" t="s">
        <v>39</v>
      </c>
    </row>
    <row r="2" spans="1:21" x14ac:dyDescent="0.35">
      <c r="A2" s="22" t="s">
        <v>28</v>
      </c>
      <c r="B2" s="22" t="s">
        <v>38</v>
      </c>
      <c r="C2" s="22" t="s">
        <v>29</v>
      </c>
      <c r="D2" s="22" t="s">
        <v>30</v>
      </c>
      <c r="E2" s="22" t="s">
        <v>31</v>
      </c>
      <c r="F2" s="22" t="s">
        <v>32</v>
      </c>
      <c r="G2" s="22" t="s">
        <v>33</v>
      </c>
      <c r="H2" s="22" t="s">
        <v>34</v>
      </c>
      <c r="I2" s="22" t="s">
        <v>35</v>
      </c>
      <c r="J2" s="22" t="s">
        <v>36</v>
      </c>
      <c r="K2" s="22" t="s">
        <v>37</v>
      </c>
      <c r="M2" s="22" t="s">
        <v>29</v>
      </c>
      <c r="N2" s="22" t="s">
        <v>30</v>
      </c>
      <c r="O2" s="22" t="s">
        <v>31</v>
      </c>
      <c r="P2" s="22" t="s">
        <v>32</v>
      </c>
      <c r="Q2" s="22" t="s">
        <v>33</v>
      </c>
      <c r="R2" s="22" t="s">
        <v>34</v>
      </c>
      <c r="S2" s="22" t="s">
        <v>35</v>
      </c>
      <c r="T2" s="22" t="s">
        <v>36</v>
      </c>
      <c r="U2" s="22" t="s">
        <v>37</v>
      </c>
    </row>
    <row r="3" spans="1:21" x14ac:dyDescent="0.35">
      <c r="A3" s="22"/>
      <c r="B3" s="22"/>
      <c r="C3" s="23">
        <v>8.0790000000000006</v>
      </c>
      <c r="D3" s="23">
        <v>7.9390000000000001</v>
      </c>
      <c r="E3" s="23">
        <v>8.1010000000000009</v>
      </c>
      <c r="F3" s="23">
        <v>8.2080000000000002</v>
      </c>
      <c r="G3" s="23">
        <v>8.1630000000000003</v>
      </c>
      <c r="H3" s="23">
        <v>8.1</v>
      </c>
      <c r="I3" s="23">
        <v>7.992</v>
      </c>
      <c r="J3" s="23">
        <v>8.1769999999999996</v>
      </c>
      <c r="K3" s="23">
        <v>7.7960000000000003</v>
      </c>
      <c r="M3" s="22"/>
      <c r="N3" s="22"/>
      <c r="O3" s="22"/>
      <c r="P3" s="22"/>
      <c r="Q3" s="22"/>
      <c r="R3" s="22"/>
      <c r="S3" s="22"/>
      <c r="T3" s="22"/>
      <c r="U3" s="22"/>
    </row>
    <row r="4" spans="1:21" x14ac:dyDescent="0.35">
      <c r="A4" s="24">
        <v>45363</v>
      </c>
      <c r="B4" s="22">
        <f>A4-$A$4</f>
        <v>0</v>
      </c>
      <c r="C4" s="23">
        <v>12.379</v>
      </c>
      <c r="D4" s="23">
        <v>11.789</v>
      </c>
      <c r="E4" s="23">
        <v>11.662000000000001</v>
      </c>
      <c r="F4" s="23">
        <v>11.887</v>
      </c>
      <c r="G4" s="23">
        <v>12.621</v>
      </c>
      <c r="H4" s="23">
        <v>12.06</v>
      </c>
      <c r="I4" s="23">
        <v>13.055999999999999</v>
      </c>
      <c r="J4" s="23">
        <v>14.547000000000001</v>
      </c>
      <c r="K4" s="23">
        <v>13.151</v>
      </c>
      <c r="M4" s="25">
        <f>IF(C4=0,NA(),100*(C$4-C4)/(C$4-C$3))</f>
        <v>0</v>
      </c>
      <c r="N4" s="25">
        <f t="shared" ref="N4:U12" si="0">IF(D4=0,NA(),100*(D$4-D4)/(D$4-D$3))</f>
        <v>0</v>
      </c>
      <c r="O4" s="25">
        <f t="shared" si="0"/>
        <v>0</v>
      </c>
      <c r="P4" s="25">
        <f t="shared" si="0"/>
        <v>0</v>
      </c>
      <c r="Q4" s="25">
        <f t="shared" si="0"/>
        <v>0</v>
      </c>
      <c r="R4" s="25">
        <f t="shared" si="0"/>
        <v>0</v>
      </c>
      <c r="S4" s="25">
        <f t="shared" si="0"/>
        <v>0</v>
      </c>
      <c r="T4" s="25">
        <f t="shared" si="0"/>
        <v>0</v>
      </c>
      <c r="U4" s="25">
        <f t="shared" si="0"/>
        <v>0</v>
      </c>
    </row>
    <row r="5" spans="1:21" x14ac:dyDescent="0.35">
      <c r="A5" s="24">
        <v>45364</v>
      </c>
      <c r="B5" s="22">
        <f t="shared" ref="B5:B12" si="1">A5-$A$4</f>
        <v>1</v>
      </c>
      <c r="C5" s="23">
        <v>11.85</v>
      </c>
      <c r="D5" s="23">
        <v>11.317</v>
      </c>
      <c r="E5" s="23">
        <v>11.215</v>
      </c>
      <c r="F5" s="23">
        <v>11.420999999999999</v>
      </c>
      <c r="G5" s="23">
        <v>12.067</v>
      </c>
      <c r="H5" s="23">
        <v>11.545999999999999</v>
      </c>
      <c r="I5" s="23">
        <v>12.416</v>
      </c>
      <c r="J5" s="23">
        <v>13.821999999999999</v>
      </c>
      <c r="K5" s="23">
        <v>12.483000000000001</v>
      </c>
      <c r="M5" s="25">
        <f>IF(C5=0,NA(),100*(C$4-C5)/(C$4-C$3))</f>
        <v>12.302325581395349</v>
      </c>
      <c r="N5" s="25">
        <f>IF(D5=0,NA(),100*(D$4-D5)/(D$4-D$3))</f>
        <v>12.259740259740248</v>
      </c>
      <c r="O5" s="25">
        <f t="shared" si="0"/>
        <v>12.552653748946952</v>
      </c>
      <c r="P5" s="25">
        <f t="shared" si="0"/>
        <v>12.666485458004921</v>
      </c>
      <c r="Q5" s="25">
        <f t="shared" si="0"/>
        <v>12.427097353073133</v>
      </c>
      <c r="R5" s="25">
        <f t="shared" si="0"/>
        <v>12.979797979798006</v>
      </c>
      <c r="S5" s="25">
        <f t="shared" si="0"/>
        <v>12.6382306477093</v>
      </c>
      <c r="T5" s="25">
        <f t="shared" si="0"/>
        <v>11.381475667189973</v>
      </c>
      <c r="U5" s="25">
        <f t="shared" si="0"/>
        <v>12.474323062558344</v>
      </c>
    </row>
    <row r="6" spans="1:21" x14ac:dyDescent="0.35">
      <c r="A6" s="24">
        <v>45365</v>
      </c>
      <c r="B6" s="22">
        <f t="shared" si="1"/>
        <v>2</v>
      </c>
      <c r="C6" s="23">
        <v>11.784000000000001</v>
      </c>
      <c r="D6" s="23">
        <v>11.269</v>
      </c>
      <c r="E6" s="23">
        <v>11.167</v>
      </c>
      <c r="F6" s="23">
        <v>11.340999999999999</v>
      </c>
      <c r="G6" s="23">
        <v>11.959</v>
      </c>
      <c r="H6" s="23">
        <v>11.47</v>
      </c>
      <c r="I6" s="23">
        <v>12.243</v>
      </c>
      <c r="J6" s="23">
        <v>13.581</v>
      </c>
      <c r="K6" s="23">
        <v>12.315</v>
      </c>
      <c r="M6" s="25">
        <f t="shared" ref="M6:M12" si="2">IF(C6=0,NA(),100*(C$4-C6)/(C$4-C$3))</f>
        <v>13.837209302325558</v>
      </c>
      <c r="N6" s="25">
        <f t="shared" si="0"/>
        <v>13.506493506493497</v>
      </c>
      <c r="O6" s="25">
        <f t="shared" si="0"/>
        <v>13.900589721988233</v>
      </c>
      <c r="P6" s="25">
        <f t="shared" si="0"/>
        <v>14.840989399293317</v>
      </c>
      <c r="Q6" s="25">
        <f t="shared" si="0"/>
        <v>14.849708389412308</v>
      </c>
      <c r="R6" s="25">
        <f t="shared" si="0"/>
        <v>14.898989898989893</v>
      </c>
      <c r="S6" s="25">
        <f t="shared" si="0"/>
        <v>16.054502369668224</v>
      </c>
      <c r="T6" s="25">
        <f t="shared" si="0"/>
        <v>15.16483516483518</v>
      </c>
      <c r="U6" s="25">
        <f t="shared" si="0"/>
        <v>15.611577964519146</v>
      </c>
    </row>
    <row r="7" spans="1:21" x14ac:dyDescent="0.35">
      <c r="A7" s="24">
        <v>45366</v>
      </c>
      <c r="B7" s="22">
        <f t="shared" si="1"/>
        <v>3</v>
      </c>
      <c r="C7" s="23">
        <v>11.760999999999999</v>
      </c>
      <c r="D7" s="23">
        <v>11.255000000000001</v>
      </c>
      <c r="E7" s="23">
        <v>11.151</v>
      </c>
      <c r="F7" s="23">
        <v>11.319000000000001</v>
      </c>
      <c r="G7" s="23">
        <v>11.936999999999999</v>
      </c>
      <c r="H7" s="23">
        <v>11.452</v>
      </c>
      <c r="I7" s="23">
        <v>12.209</v>
      </c>
      <c r="J7" s="23">
        <v>13.5</v>
      </c>
      <c r="K7" s="23">
        <v>12.259</v>
      </c>
      <c r="M7" s="25">
        <f t="shared" si="2"/>
        <v>14.372093023255825</v>
      </c>
      <c r="N7" s="25">
        <f t="shared" si="0"/>
        <v>13.870129870129844</v>
      </c>
      <c r="O7" s="25">
        <f t="shared" si="0"/>
        <v>14.349901713001994</v>
      </c>
      <c r="P7" s="25">
        <f t="shared" si="0"/>
        <v>15.438977983147582</v>
      </c>
      <c r="Q7" s="25">
        <f t="shared" si="0"/>
        <v>15.343203230148072</v>
      </c>
      <c r="R7" s="25">
        <f t="shared" si="0"/>
        <v>15.353535353535364</v>
      </c>
      <c r="S7" s="25">
        <f t="shared" si="0"/>
        <v>16.725908372827799</v>
      </c>
      <c r="T7" s="25">
        <f t="shared" si="0"/>
        <v>16.436420722135015</v>
      </c>
      <c r="U7" s="25">
        <f t="shared" si="0"/>
        <v>16.65732959850606</v>
      </c>
    </row>
    <row r="8" spans="1:21" x14ac:dyDescent="0.35">
      <c r="A8" s="24">
        <v>45369</v>
      </c>
      <c r="B8" s="22">
        <f t="shared" si="1"/>
        <v>6</v>
      </c>
      <c r="C8" s="23">
        <v>11.739000000000001</v>
      </c>
      <c r="D8" s="23">
        <v>11.236000000000001</v>
      </c>
      <c r="E8" s="23">
        <v>11.134</v>
      </c>
      <c r="F8" s="23">
        <v>11.302</v>
      </c>
      <c r="G8" s="23">
        <v>11.917</v>
      </c>
      <c r="H8" s="23">
        <v>11.435</v>
      </c>
      <c r="I8" s="23">
        <v>12.180999999999999</v>
      </c>
      <c r="J8" s="23">
        <v>13.461</v>
      </c>
      <c r="K8" s="23">
        <v>12.23</v>
      </c>
      <c r="M8" s="25">
        <f t="shared" si="2"/>
        <v>14.883720930232533</v>
      </c>
      <c r="N8" s="25">
        <f t="shared" si="0"/>
        <v>14.36363636363634</v>
      </c>
      <c r="O8" s="25">
        <f t="shared" si="0"/>
        <v>14.8272957034541</v>
      </c>
      <c r="P8" s="25">
        <f t="shared" si="0"/>
        <v>15.9010600706714</v>
      </c>
      <c r="Q8" s="25">
        <f t="shared" si="0"/>
        <v>15.791834903544203</v>
      </c>
      <c r="R8" s="25">
        <f t="shared" si="0"/>
        <v>15.78282828282828</v>
      </c>
      <c r="S8" s="25">
        <f t="shared" si="0"/>
        <v>17.27883096366509</v>
      </c>
      <c r="T8" s="25">
        <f t="shared" si="0"/>
        <v>17.048665620094191</v>
      </c>
      <c r="U8" s="25">
        <f t="shared" si="0"/>
        <v>17.198879551820717</v>
      </c>
    </row>
    <row r="9" spans="1:21" x14ac:dyDescent="0.35">
      <c r="A9" s="24">
        <v>45370</v>
      </c>
      <c r="B9" s="22">
        <f t="shared" si="1"/>
        <v>7</v>
      </c>
      <c r="C9" s="23">
        <v>11.733000000000001</v>
      </c>
      <c r="D9" s="23">
        <v>11.231999999999999</v>
      </c>
      <c r="E9" s="23">
        <v>11.132999999999999</v>
      </c>
      <c r="F9" s="23">
        <v>11.301</v>
      </c>
      <c r="G9" s="23">
        <v>11.912000000000001</v>
      </c>
      <c r="H9" s="23">
        <v>11.433</v>
      </c>
      <c r="I9" s="23">
        <v>12.178000000000001</v>
      </c>
      <c r="J9" s="23">
        <v>13.455</v>
      </c>
      <c r="K9" s="23">
        <v>12.223000000000001</v>
      </c>
      <c r="M9" s="25">
        <f t="shared" si="2"/>
        <v>15.023255813953471</v>
      </c>
      <c r="N9" s="25">
        <f t="shared" si="0"/>
        <v>14.467532467532479</v>
      </c>
      <c r="O9" s="25">
        <f t="shared" si="0"/>
        <v>14.855377702892493</v>
      </c>
      <c r="P9" s="25">
        <f t="shared" si="0"/>
        <v>15.92824136993749</v>
      </c>
      <c r="Q9" s="25">
        <f t="shared" si="0"/>
        <v>15.903992821893217</v>
      </c>
      <c r="R9" s="25">
        <f t="shared" si="0"/>
        <v>15.833333333333346</v>
      </c>
      <c r="S9" s="25">
        <f t="shared" si="0"/>
        <v>17.338072669826197</v>
      </c>
      <c r="T9" s="25">
        <f t="shared" si="0"/>
        <v>17.142857142857146</v>
      </c>
      <c r="U9" s="25">
        <f t="shared" si="0"/>
        <v>17.329598506069075</v>
      </c>
    </row>
    <row r="10" spans="1:21" x14ac:dyDescent="0.35">
      <c r="A10" s="24">
        <v>45371</v>
      </c>
      <c r="B10" s="22">
        <f t="shared" si="1"/>
        <v>8</v>
      </c>
      <c r="C10" s="23"/>
      <c r="D10" s="23"/>
      <c r="E10" s="23"/>
      <c r="F10" s="23"/>
      <c r="G10" s="23"/>
      <c r="H10" s="23"/>
      <c r="I10" s="23"/>
      <c r="J10" s="23"/>
      <c r="K10" s="23"/>
      <c r="M10" s="25" t="e">
        <f t="shared" si="2"/>
        <v>#N/A</v>
      </c>
      <c r="N10" s="25" t="e">
        <f t="shared" si="0"/>
        <v>#N/A</v>
      </c>
      <c r="O10" s="25" t="e">
        <f t="shared" si="0"/>
        <v>#N/A</v>
      </c>
      <c r="P10" s="25" t="e">
        <f t="shared" si="0"/>
        <v>#N/A</v>
      </c>
      <c r="Q10" s="25" t="e">
        <f t="shared" si="0"/>
        <v>#N/A</v>
      </c>
      <c r="R10" s="25" t="e">
        <f t="shared" si="0"/>
        <v>#N/A</v>
      </c>
      <c r="S10" s="25" t="e">
        <f t="shared" si="0"/>
        <v>#N/A</v>
      </c>
      <c r="T10" s="25" t="e">
        <f t="shared" si="0"/>
        <v>#N/A</v>
      </c>
      <c r="U10" s="25" t="e">
        <f t="shared" si="0"/>
        <v>#N/A</v>
      </c>
    </row>
    <row r="11" spans="1:21" x14ac:dyDescent="0.35">
      <c r="A11" s="24">
        <v>45372</v>
      </c>
      <c r="B11" s="22">
        <f t="shared" si="1"/>
        <v>9</v>
      </c>
      <c r="C11" s="23"/>
      <c r="D11" s="23"/>
      <c r="E11" s="23"/>
      <c r="F11" s="23"/>
      <c r="G11" s="23"/>
      <c r="H11" s="23"/>
      <c r="I11" s="23"/>
      <c r="J11" s="23"/>
      <c r="K11" s="23"/>
      <c r="M11" s="25" t="e">
        <f t="shared" si="2"/>
        <v>#N/A</v>
      </c>
      <c r="N11" s="25" t="e">
        <f t="shared" si="0"/>
        <v>#N/A</v>
      </c>
      <c r="O11" s="25" t="e">
        <f t="shared" si="0"/>
        <v>#N/A</v>
      </c>
      <c r="P11" s="25" t="e">
        <f t="shared" si="0"/>
        <v>#N/A</v>
      </c>
      <c r="Q11" s="25" t="e">
        <f t="shared" si="0"/>
        <v>#N/A</v>
      </c>
      <c r="R11" s="25" t="e">
        <f t="shared" si="0"/>
        <v>#N/A</v>
      </c>
      <c r="S11" s="25" t="e">
        <f t="shared" si="0"/>
        <v>#N/A</v>
      </c>
      <c r="T11" s="25" t="e">
        <f t="shared" si="0"/>
        <v>#N/A</v>
      </c>
      <c r="U11" s="25" t="e">
        <f t="shared" si="0"/>
        <v>#N/A</v>
      </c>
    </row>
    <row r="12" spans="1:21" x14ac:dyDescent="0.35">
      <c r="A12" s="24">
        <v>45373</v>
      </c>
      <c r="B12" s="22">
        <f t="shared" si="1"/>
        <v>10</v>
      </c>
      <c r="C12" s="23"/>
      <c r="D12" s="23"/>
      <c r="E12" s="23"/>
      <c r="F12" s="23"/>
      <c r="G12" s="23"/>
      <c r="H12" s="23"/>
      <c r="I12" s="23"/>
      <c r="J12" s="23"/>
      <c r="K12" s="23"/>
      <c r="M12" s="25" t="e">
        <f t="shared" si="2"/>
        <v>#N/A</v>
      </c>
      <c r="N12" s="25" t="e">
        <f t="shared" si="0"/>
        <v>#N/A</v>
      </c>
      <c r="O12" s="25" t="e">
        <f t="shared" si="0"/>
        <v>#N/A</v>
      </c>
      <c r="P12" s="25" t="e">
        <f t="shared" si="0"/>
        <v>#N/A</v>
      </c>
      <c r="Q12" s="25" t="e">
        <f t="shared" si="0"/>
        <v>#N/A</v>
      </c>
      <c r="R12" s="25" t="e">
        <f t="shared" si="0"/>
        <v>#N/A</v>
      </c>
      <c r="S12" s="25" t="e">
        <f t="shared" si="0"/>
        <v>#N/A</v>
      </c>
      <c r="T12" s="25" t="e">
        <f t="shared" si="0"/>
        <v>#N/A</v>
      </c>
      <c r="U12" s="25" t="e">
        <f t="shared" si="0"/>
        <v>#N/A</v>
      </c>
    </row>
    <row r="13" spans="1:21" x14ac:dyDescent="0.35">
      <c r="C13" s="19"/>
      <c r="D13" s="19"/>
      <c r="E13" s="19"/>
      <c r="F13" s="19"/>
      <c r="G13" s="19"/>
      <c r="H13" s="19"/>
      <c r="I13" s="19"/>
      <c r="J13" s="19"/>
      <c r="K13" s="19"/>
    </row>
    <row r="14" spans="1:21" x14ac:dyDescent="0.35">
      <c r="C14" s="19"/>
      <c r="D14" s="19"/>
      <c r="E14" s="19"/>
      <c r="F14" s="19"/>
      <c r="G14" s="19"/>
      <c r="H14" s="19"/>
      <c r="I14" s="19"/>
      <c r="J14" s="19"/>
      <c r="K14" s="19"/>
      <c r="N14" s="26" t="s">
        <v>47</v>
      </c>
      <c r="O14" s="26" t="s">
        <v>49</v>
      </c>
    </row>
    <row r="15" spans="1:21" x14ac:dyDescent="0.35">
      <c r="C15" s="19"/>
      <c r="D15" s="19"/>
      <c r="E15" s="19"/>
      <c r="F15" s="19"/>
      <c r="G15" s="19"/>
      <c r="H15" s="19"/>
      <c r="I15" s="19"/>
      <c r="J15" s="19"/>
      <c r="K15" s="19"/>
      <c r="M15" s="26" t="s">
        <v>25</v>
      </c>
      <c r="N15" s="27">
        <f>AVERAGE(M9:O9)</f>
        <v>14.782055328126148</v>
      </c>
      <c r="O15" s="27">
        <f>_xlfn.STDEV.S(M9:O9)</f>
        <v>0.2850249768360113</v>
      </c>
    </row>
    <row r="16" spans="1:21" x14ac:dyDescent="0.35">
      <c r="C16" s="19"/>
      <c r="D16" s="19"/>
      <c r="E16" s="19"/>
      <c r="F16" s="19"/>
      <c r="G16" s="19"/>
      <c r="H16" s="19"/>
      <c r="I16" s="19"/>
      <c r="J16" s="19"/>
      <c r="K16" s="19"/>
      <c r="M16" s="26" t="s">
        <v>26</v>
      </c>
      <c r="N16" s="27">
        <f>AVERAGE(P9:R9)</f>
        <v>15.888522508388016</v>
      </c>
      <c r="O16" s="27">
        <f>_xlfn.STDEV.S(P9:R9)</f>
        <v>4.9309043825400259E-2</v>
      </c>
    </row>
    <row r="17" spans="3:15" x14ac:dyDescent="0.35">
      <c r="C17" s="19"/>
      <c r="D17" s="19"/>
      <c r="E17" s="19"/>
      <c r="F17" s="19"/>
      <c r="G17" s="19"/>
      <c r="H17" s="19"/>
      <c r="I17" s="19"/>
      <c r="J17" s="19"/>
      <c r="K17" s="19"/>
      <c r="M17" s="26" t="s">
        <v>27</v>
      </c>
      <c r="N17" s="27">
        <f>AVERAGE(S9:U9)</f>
        <v>17.270176106250805</v>
      </c>
      <c r="O17" s="27">
        <f>_xlfn.STDEV.S(S9:U9)</f>
        <v>0.11034283706962016</v>
      </c>
    </row>
    <row r="18" spans="3:15" x14ac:dyDescent="0.35">
      <c r="C18" s="19"/>
      <c r="D18" s="19"/>
      <c r="E18" s="19"/>
      <c r="F18" s="19"/>
      <c r="G18" s="19"/>
      <c r="H18" s="19"/>
      <c r="I18" s="19"/>
      <c r="J18" s="19"/>
      <c r="K18" s="19"/>
    </row>
    <row r="19" spans="3:15" x14ac:dyDescent="0.35">
      <c r="C19" s="19"/>
      <c r="D19" s="19"/>
      <c r="E19" s="19"/>
      <c r="F19" s="19"/>
      <c r="G19" s="19"/>
      <c r="H19" s="19"/>
      <c r="I19" s="19"/>
      <c r="J19" s="19"/>
      <c r="K19" s="19"/>
    </row>
    <row r="20" spans="3:15" x14ac:dyDescent="0.35">
      <c r="C20" s="19"/>
      <c r="D20" s="19"/>
      <c r="E20" s="19"/>
      <c r="F20" s="19"/>
      <c r="G20" s="19"/>
      <c r="H20" s="19"/>
      <c r="I20" s="19"/>
      <c r="J20" s="19"/>
      <c r="K20" s="19"/>
    </row>
    <row r="21" spans="3:15" x14ac:dyDescent="0.35">
      <c r="C21" s="19"/>
      <c r="D21" s="19"/>
      <c r="E21" s="19"/>
      <c r="F21" s="19"/>
      <c r="G21" s="19"/>
      <c r="H21" s="19"/>
      <c r="I21" s="19"/>
      <c r="J21" s="19"/>
      <c r="K21" s="19"/>
    </row>
    <row r="22" spans="3:15" x14ac:dyDescent="0.35">
      <c r="C22" s="18"/>
      <c r="D22" s="18"/>
      <c r="E22" s="18"/>
      <c r="F22" s="18"/>
      <c r="G22" s="18"/>
      <c r="H22" s="18"/>
      <c r="I22" s="18"/>
      <c r="J22" s="18"/>
    </row>
    <row r="23" spans="3:15" x14ac:dyDescent="0.35">
      <c r="C23" s="18"/>
      <c r="D23" s="18"/>
      <c r="E23" s="18"/>
      <c r="F23" s="18"/>
      <c r="G23" s="18"/>
      <c r="H23" s="18"/>
      <c r="I23" s="18"/>
      <c r="J23" s="18"/>
    </row>
    <row r="24" spans="3:15" x14ac:dyDescent="0.35">
      <c r="C24" s="18"/>
      <c r="D24" s="18"/>
      <c r="E24" s="18"/>
      <c r="F24" s="18"/>
      <c r="G24" s="18"/>
      <c r="H24" s="18"/>
      <c r="I24" s="18"/>
      <c r="J24" s="18"/>
    </row>
    <row r="25" spans="3:15" x14ac:dyDescent="0.35">
      <c r="C25" s="18"/>
      <c r="D25" s="18"/>
      <c r="E25" s="18"/>
      <c r="F25" s="18"/>
      <c r="G25" s="18"/>
      <c r="H25" s="18"/>
      <c r="I25" s="18"/>
      <c r="J25" s="18"/>
    </row>
    <row r="26" spans="3:15" x14ac:dyDescent="0.35">
      <c r="C26" s="18"/>
      <c r="D26" s="18"/>
      <c r="E26" s="18"/>
      <c r="F26" s="18"/>
      <c r="G26" s="18"/>
      <c r="H26" s="18"/>
      <c r="I26" s="18"/>
      <c r="J26" s="18"/>
    </row>
    <row r="27" spans="3:15" x14ac:dyDescent="0.35">
      <c r="C27" s="18"/>
      <c r="D27" s="18"/>
      <c r="E27" s="18"/>
      <c r="F27" s="18"/>
      <c r="G27" s="18"/>
      <c r="H27" s="18"/>
      <c r="I27" s="18"/>
      <c r="J27" s="18"/>
    </row>
    <row r="28" spans="3:15" x14ac:dyDescent="0.35">
      <c r="C28" s="18"/>
      <c r="D28" s="18"/>
      <c r="E28" s="18"/>
      <c r="F28" s="18"/>
      <c r="G28" s="18"/>
      <c r="H28" s="18"/>
      <c r="I28" s="18"/>
      <c r="J28" s="18"/>
    </row>
    <row r="29" spans="3:15" x14ac:dyDescent="0.35">
      <c r="C29" s="18"/>
      <c r="D29" s="18"/>
      <c r="E29" s="18"/>
      <c r="F29" s="18"/>
      <c r="G29" s="18"/>
      <c r="H29" s="18"/>
      <c r="I29" s="18"/>
      <c r="J29" s="18"/>
    </row>
    <row r="30" spans="3:15" x14ac:dyDescent="0.35">
      <c r="C30" s="18"/>
      <c r="D30" s="18"/>
      <c r="E30" s="18"/>
      <c r="F30" s="18"/>
      <c r="G30" s="18"/>
      <c r="H30" s="18"/>
      <c r="I30" s="18"/>
      <c r="J30" s="18"/>
    </row>
    <row r="31" spans="3:15" x14ac:dyDescent="0.35">
      <c r="C31" s="18"/>
      <c r="D31" s="18"/>
      <c r="E31" s="18"/>
      <c r="F31" s="18"/>
      <c r="G31" s="18"/>
      <c r="H31" s="18"/>
      <c r="I31" s="18"/>
      <c r="J31" s="18"/>
    </row>
    <row r="32" spans="3:15" x14ac:dyDescent="0.35">
      <c r="C32" s="18"/>
      <c r="D32" s="18"/>
      <c r="E32" s="18"/>
      <c r="F32" s="18"/>
      <c r="G32" s="18"/>
      <c r="H32" s="18"/>
      <c r="I32" s="18"/>
      <c r="J32" s="18"/>
    </row>
    <row r="33" spans="3:10" x14ac:dyDescent="0.35">
      <c r="C33" s="18"/>
      <c r="D33" s="18"/>
      <c r="E33" s="18"/>
      <c r="F33" s="18"/>
      <c r="G33" s="18"/>
      <c r="H33" s="18"/>
      <c r="I33" s="18"/>
      <c r="J33" s="18"/>
    </row>
    <row r="34" spans="3:10" x14ac:dyDescent="0.35">
      <c r="C34" s="18"/>
      <c r="D34" s="18"/>
      <c r="E34" s="18"/>
      <c r="F34" s="18"/>
      <c r="G34" s="18"/>
      <c r="H34" s="18"/>
      <c r="I34" s="18"/>
      <c r="J34" s="18"/>
    </row>
    <row r="35" spans="3:10" x14ac:dyDescent="0.35">
      <c r="C35" s="18"/>
      <c r="D35" s="18"/>
      <c r="E35" s="18"/>
      <c r="F35" s="18"/>
      <c r="G35" s="18"/>
      <c r="H35" s="18"/>
      <c r="I35" s="18"/>
      <c r="J35" s="18"/>
    </row>
    <row r="36" spans="3:10" x14ac:dyDescent="0.35">
      <c r="C36" s="18"/>
      <c r="D36" s="18"/>
      <c r="E36" s="18"/>
      <c r="F36" s="18"/>
      <c r="G36" s="18"/>
      <c r="H36" s="18"/>
      <c r="I36" s="18"/>
      <c r="J36" s="18"/>
    </row>
    <row r="37" spans="3:10" x14ac:dyDescent="0.35">
      <c r="C37" s="18"/>
      <c r="D37" s="18"/>
      <c r="E37" s="18"/>
      <c r="F37" s="18"/>
      <c r="G37" s="18"/>
      <c r="H37" s="18"/>
      <c r="I37" s="18"/>
      <c r="J37" s="18"/>
    </row>
    <row r="38" spans="3:10" x14ac:dyDescent="0.35">
      <c r="C38" s="18"/>
      <c r="D38" s="18"/>
      <c r="E38" s="18"/>
      <c r="F38" s="18"/>
      <c r="G38" s="18"/>
      <c r="H38" s="18"/>
      <c r="I38" s="18"/>
      <c r="J38" s="18"/>
    </row>
    <row r="39" spans="3:10" x14ac:dyDescent="0.35">
      <c r="C39" s="18"/>
      <c r="D39" s="18"/>
      <c r="E39" s="18"/>
      <c r="F39" s="18"/>
      <c r="G39" s="18"/>
      <c r="H39" s="18"/>
      <c r="I39" s="18"/>
      <c r="J39" s="18"/>
    </row>
    <row r="40" spans="3:10" x14ac:dyDescent="0.35">
      <c r="C40" s="18"/>
      <c r="D40" s="18"/>
      <c r="E40" s="18"/>
      <c r="F40" s="18"/>
      <c r="G40" s="18"/>
      <c r="H40" s="18"/>
      <c r="I40" s="18"/>
      <c r="J40" s="18"/>
    </row>
    <row r="41" spans="3:10" x14ac:dyDescent="0.35">
      <c r="C41" s="18"/>
      <c r="D41" s="18"/>
      <c r="E41" s="18"/>
      <c r="F41" s="18"/>
      <c r="G41" s="18"/>
      <c r="H41" s="18"/>
      <c r="I41" s="18"/>
      <c r="J41" s="18"/>
    </row>
    <row r="42" spans="3:10" x14ac:dyDescent="0.35">
      <c r="C42" s="18"/>
      <c r="D42" s="18"/>
      <c r="E42" s="18"/>
      <c r="F42" s="18"/>
      <c r="G42" s="18"/>
      <c r="H42" s="18"/>
      <c r="I42" s="18"/>
      <c r="J42" s="18"/>
    </row>
    <row r="43" spans="3:10" x14ac:dyDescent="0.35">
      <c r="C43" s="18"/>
      <c r="D43" s="18"/>
      <c r="E43" s="18"/>
      <c r="F43" s="18"/>
      <c r="G43" s="18"/>
      <c r="H43" s="18"/>
      <c r="I43" s="18"/>
      <c r="J43" s="18"/>
    </row>
    <row r="44" spans="3:10" x14ac:dyDescent="0.35">
      <c r="C44" s="18"/>
      <c r="D44" s="18"/>
      <c r="E44" s="18"/>
      <c r="F44" s="18"/>
      <c r="G44" s="18"/>
      <c r="H44" s="18"/>
      <c r="I44" s="18"/>
      <c r="J44" s="18"/>
    </row>
    <row r="45" spans="3:10" x14ac:dyDescent="0.35">
      <c r="C45" s="18"/>
      <c r="D45" s="18"/>
      <c r="E45" s="18"/>
      <c r="F45" s="18"/>
      <c r="G45" s="18"/>
      <c r="H45" s="18"/>
      <c r="I45" s="18"/>
      <c r="J45" s="18"/>
    </row>
    <row r="46" spans="3:10" x14ac:dyDescent="0.35">
      <c r="C46" s="18"/>
      <c r="D46" s="18"/>
      <c r="E46" s="18"/>
      <c r="F46" s="18"/>
      <c r="G46" s="18"/>
      <c r="H46" s="18"/>
      <c r="I46" s="18"/>
      <c r="J46" s="18"/>
    </row>
    <row r="47" spans="3:10" x14ac:dyDescent="0.35">
      <c r="C47" s="18"/>
      <c r="D47" s="18"/>
      <c r="E47" s="18"/>
      <c r="F47" s="18"/>
      <c r="G47" s="18"/>
      <c r="H47" s="18"/>
      <c r="I47" s="18"/>
      <c r="J47" s="18"/>
    </row>
    <row r="48" spans="3:10" x14ac:dyDescent="0.35">
      <c r="C48" s="18"/>
      <c r="D48" s="18"/>
      <c r="E48" s="18"/>
      <c r="F48" s="18"/>
      <c r="G48" s="18"/>
      <c r="H48" s="18"/>
      <c r="I48" s="18"/>
      <c r="J48" s="18"/>
    </row>
    <row r="49" spans="3:10" x14ac:dyDescent="0.35">
      <c r="C49" s="18"/>
      <c r="D49" s="18"/>
      <c r="E49" s="18"/>
      <c r="F49" s="18"/>
      <c r="G49" s="18"/>
      <c r="H49" s="18"/>
      <c r="I49" s="18"/>
      <c r="J49" s="18"/>
    </row>
    <row r="50" spans="3:10" x14ac:dyDescent="0.35">
      <c r="C50" s="18"/>
      <c r="D50" s="18"/>
      <c r="E50" s="18"/>
      <c r="F50" s="18"/>
      <c r="G50" s="18"/>
      <c r="H50" s="18"/>
      <c r="I50" s="18"/>
      <c r="J50" s="18"/>
    </row>
    <row r="51" spans="3:10" x14ac:dyDescent="0.35">
      <c r="C51" s="18"/>
      <c r="D51" s="18"/>
      <c r="E51" s="18"/>
      <c r="F51" s="18"/>
      <c r="G51" s="18"/>
      <c r="H51" s="18"/>
      <c r="I51" s="18"/>
      <c r="J51" s="18"/>
    </row>
    <row r="52" spans="3:10" x14ac:dyDescent="0.35">
      <c r="C52" s="18"/>
      <c r="D52" s="18"/>
      <c r="E52" s="18"/>
      <c r="F52" s="18"/>
      <c r="G52" s="18"/>
      <c r="H52" s="18"/>
      <c r="I52" s="18"/>
      <c r="J52" s="18"/>
    </row>
    <row r="53" spans="3:10" x14ac:dyDescent="0.35">
      <c r="C53" s="18"/>
      <c r="D53" s="18"/>
      <c r="E53" s="18"/>
      <c r="F53" s="18"/>
      <c r="G53" s="18"/>
      <c r="H53" s="18"/>
      <c r="I53" s="18"/>
      <c r="J53" s="18"/>
    </row>
    <row r="54" spans="3:10" x14ac:dyDescent="0.35">
      <c r="C54" s="18"/>
      <c r="D54" s="18"/>
      <c r="E54" s="18"/>
      <c r="F54" s="18"/>
      <c r="G54" s="18"/>
      <c r="H54" s="18"/>
      <c r="I54" s="18"/>
      <c r="J54" s="18"/>
    </row>
    <row r="55" spans="3:10" x14ac:dyDescent="0.35">
      <c r="C55" s="18"/>
      <c r="D55" s="18"/>
      <c r="E55" s="18"/>
      <c r="F55" s="18"/>
      <c r="G55" s="18"/>
      <c r="H55" s="18"/>
      <c r="I55" s="18"/>
      <c r="J55" s="18"/>
    </row>
    <row r="56" spans="3:10" x14ac:dyDescent="0.35">
      <c r="C56" s="18"/>
      <c r="D56" s="18"/>
      <c r="E56" s="18"/>
      <c r="F56" s="18"/>
      <c r="G56" s="18"/>
      <c r="H56" s="18"/>
      <c r="I56" s="18"/>
      <c r="J56" s="18"/>
    </row>
    <row r="57" spans="3:10" x14ac:dyDescent="0.35">
      <c r="C57" s="18"/>
      <c r="D57" s="18"/>
      <c r="E57" s="18"/>
      <c r="F57" s="18"/>
      <c r="G57" s="18"/>
      <c r="H57" s="18"/>
      <c r="I57" s="18"/>
      <c r="J57" s="18"/>
    </row>
    <row r="58" spans="3:10" x14ac:dyDescent="0.35">
      <c r="C58" s="18"/>
      <c r="D58" s="18"/>
      <c r="E58" s="18"/>
      <c r="F58" s="18"/>
      <c r="G58" s="18"/>
      <c r="H58" s="18"/>
      <c r="I58" s="18"/>
      <c r="J58" s="18"/>
    </row>
    <row r="59" spans="3:10" x14ac:dyDescent="0.35">
      <c r="C59" s="18"/>
      <c r="D59" s="18"/>
      <c r="E59" s="18"/>
      <c r="F59" s="18"/>
      <c r="G59" s="18"/>
      <c r="H59" s="18"/>
      <c r="I59" s="18"/>
      <c r="J59" s="18"/>
    </row>
    <row r="60" spans="3:10" x14ac:dyDescent="0.35">
      <c r="C60" s="18"/>
      <c r="D60" s="18"/>
      <c r="E60" s="18"/>
      <c r="F60" s="18"/>
      <c r="G60" s="18"/>
      <c r="H60" s="18"/>
      <c r="I60" s="18"/>
      <c r="J60" s="18"/>
    </row>
    <row r="61" spans="3:10" x14ac:dyDescent="0.35">
      <c r="C61" s="18"/>
      <c r="D61" s="18"/>
      <c r="E61" s="18"/>
      <c r="F61" s="18"/>
      <c r="G61" s="18"/>
      <c r="H61" s="18"/>
      <c r="I61" s="18"/>
      <c r="J61" s="18"/>
    </row>
    <row r="62" spans="3:10" x14ac:dyDescent="0.35">
      <c r="C62" s="18"/>
      <c r="D62" s="18"/>
      <c r="E62" s="18"/>
      <c r="F62" s="18"/>
      <c r="G62" s="18"/>
      <c r="H62" s="18"/>
      <c r="I62" s="18"/>
      <c r="J62" s="18"/>
    </row>
    <row r="63" spans="3:10" x14ac:dyDescent="0.35">
      <c r="C63" s="18"/>
      <c r="D63" s="18"/>
      <c r="E63" s="18"/>
      <c r="F63" s="18"/>
      <c r="G63" s="18"/>
      <c r="H63" s="18"/>
      <c r="I63" s="18"/>
      <c r="J63" s="18"/>
    </row>
    <row r="64" spans="3:10" x14ac:dyDescent="0.35">
      <c r="C64" s="18"/>
      <c r="D64" s="18"/>
      <c r="E64" s="18"/>
      <c r="F64" s="18"/>
      <c r="G64" s="18"/>
      <c r="H64" s="18"/>
      <c r="I64" s="18"/>
      <c r="J64" s="18"/>
    </row>
    <row r="65" spans="3:10" x14ac:dyDescent="0.35">
      <c r="C65" s="18"/>
      <c r="D65" s="18"/>
      <c r="E65" s="18"/>
      <c r="F65" s="18"/>
      <c r="G65" s="18"/>
      <c r="H65" s="18"/>
      <c r="I65" s="18"/>
      <c r="J65" s="18"/>
    </row>
    <row r="66" spans="3:10" x14ac:dyDescent="0.35">
      <c r="C66" s="18"/>
      <c r="D66" s="18"/>
      <c r="E66" s="18"/>
      <c r="F66" s="18"/>
      <c r="G66" s="18"/>
      <c r="H66" s="18"/>
      <c r="I66" s="18"/>
      <c r="J66" s="18"/>
    </row>
    <row r="67" spans="3:10" x14ac:dyDescent="0.35">
      <c r="C67" s="18"/>
      <c r="D67" s="18"/>
      <c r="E67" s="18"/>
      <c r="F67" s="18"/>
      <c r="G67" s="18"/>
      <c r="H67" s="18"/>
      <c r="I67" s="18"/>
      <c r="J67" s="18"/>
    </row>
    <row r="68" spans="3:10" x14ac:dyDescent="0.35">
      <c r="C68" s="18"/>
      <c r="D68" s="18"/>
      <c r="E68" s="18"/>
      <c r="F68" s="18"/>
      <c r="G68" s="18"/>
      <c r="H68" s="18"/>
      <c r="I68" s="18"/>
      <c r="J68" s="18"/>
    </row>
    <row r="69" spans="3:10" x14ac:dyDescent="0.35">
      <c r="C69" s="18"/>
      <c r="D69" s="18"/>
      <c r="E69" s="18"/>
      <c r="F69" s="18"/>
      <c r="G69" s="18"/>
      <c r="H69" s="18"/>
      <c r="I69" s="18"/>
      <c r="J69" s="18"/>
    </row>
    <row r="70" spans="3:10" x14ac:dyDescent="0.35">
      <c r="C70" s="18"/>
      <c r="D70" s="18"/>
      <c r="E70" s="18"/>
      <c r="F70" s="18"/>
      <c r="G70" s="18"/>
      <c r="H70" s="18"/>
      <c r="I70" s="18"/>
      <c r="J70" s="18"/>
    </row>
    <row r="71" spans="3:10" x14ac:dyDescent="0.35">
      <c r="C71" s="18"/>
      <c r="D71" s="18"/>
      <c r="E71" s="18"/>
      <c r="F71" s="18"/>
      <c r="G71" s="18"/>
      <c r="H71" s="18"/>
      <c r="I71" s="18"/>
      <c r="J71" s="18"/>
    </row>
    <row r="72" spans="3:10" x14ac:dyDescent="0.35">
      <c r="C72" s="18"/>
      <c r="D72" s="18"/>
      <c r="E72" s="18"/>
      <c r="F72" s="18"/>
      <c r="G72" s="18"/>
      <c r="H72" s="18"/>
      <c r="I72" s="18"/>
      <c r="J72" s="18"/>
    </row>
    <row r="73" spans="3:10" x14ac:dyDescent="0.35">
      <c r="C73" s="18"/>
      <c r="D73" s="18"/>
      <c r="E73" s="18"/>
      <c r="F73" s="18"/>
      <c r="G73" s="18"/>
      <c r="H73" s="18"/>
      <c r="I73" s="18"/>
      <c r="J73" s="18"/>
    </row>
    <row r="74" spans="3:10" x14ac:dyDescent="0.35">
      <c r="C74" s="18"/>
      <c r="D74" s="18"/>
      <c r="E74" s="18"/>
      <c r="F74" s="18"/>
      <c r="G74" s="18"/>
      <c r="H74" s="18"/>
      <c r="I74" s="18"/>
      <c r="J74" s="18"/>
    </row>
    <row r="75" spans="3:10" x14ac:dyDescent="0.35">
      <c r="C75" s="18"/>
      <c r="D75" s="18"/>
      <c r="E75" s="18"/>
      <c r="F75" s="18"/>
      <c r="G75" s="18"/>
      <c r="H75" s="18"/>
      <c r="I75" s="18"/>
      <c r="J75" s="18"/>
    </row>
    <row r="76" spans="3:10" x14ac:dyDescent="0.35">
      <c r="C76" s="18"/>
      <c r="D76" s="18"/>
      <c r="E76" s="18"/>
      <c r="F76" s="18"/>
      <c r="G76" s="18"/>
      <c r="H76" s="18"/>
      <c r="I76" s="18"/>
      <c r="J76" s="18"/>
    </row>
    <row r="77" spans="3:10" x14ac:dyDescent="0.35">
      <c r="C77" s="18"/>
      <c r="D77" s="18"/>
      <c r="E77" s="18"/>
      <c r="F77" s="18"/>
      <c r="G77" s="18"/>
      <c r="H77" s="18"/>
      <c r="I77" s="18"/>
      <c r="J77" s="18"/>
    </row>
    <row r="78" spans="3:10" x14ac:dyDescent="0.35">
      <c r="C78" s="18"/>
      <c r="D78" s="18"/>
      <c r="E78" s="18"/>
      <c r="F78" s="18"/>
      <c r="G78" s="18"/>
      <c r="H78" s="18"/>
      <c r="I78" s="18"/>
      <c r="J78" s="18"/>
    </row>
    <row r="79" spans="3:10" x14ac:dyDescent="0.35">
      <c r="C79" s="18"/>
      <c r="D79" s="18"/>
      <c r="E79" s="18"/>
      <c r="F79" s="18"/>
      <c r="G79" s="18"/>
      <c r="H79" s="18"/>
      <c r="I79" s="18"/>
      <c r="J79" s="18"/>
    </row>
    <row r="80" spans="3:10" x14ac:dyDescent="0.35">
      <c r="C80" s="18"/>
      <c r="D80" s="18"/>
      <c r="E80" s="18"/>
      <c r="F80" s="18"/>
      <c r="G80" s="18"/>
      <c r="H80" s="18"/>
      <c r="I80" s="18"/>
      <c r="J80" s="18"/>
    </row>
    <row r="81" spans="3:10" x14ac:dyDescent="0.35">
      <c r="C81" s="18"/>
      <c r="D81" s="18"/>
      <c r="E81" s="18"/>
      <c r="F81" s="18"/>
      <c r="G81" s="18"/>
      <c r="H81" s="18"/>
      <c r="I81" s="18"/>
      <c r="J81" s="18"/>
    </row>
    <row r="82" spans="3:10" x14ac:dyDescent="0.35">
      <c r="C82" s="18"/>
      <c r="D82" s="18"/>
      <c r="E82" s="18"/>
      <c r="F82" s="18"/>
      <c r="G82" s="18"/>
      <c r="H82" s="18"/>
      <c r="I82" s="18"/>
      <c r="J82" s="18"/>
    </row>
    <row r="83" spans="3:10" x14ac:dyDescent="0.35">
      <c r="C83" s="18"/>
      <c r="D83" s="18"/>
      <c r="E83" s="18"/>
      <c r="F83" s="18"/>
      <c r="G83" s="18"/>
      <c r="H83" s="18"/>
      <c r="I83" s="18"/>
      <c r="J83" s="18"/>
    </row>
    <row r="84" spans="3:10" x14ac:dyDescent="0.35">
      <c r="C84" s="18"/>
      <c r="D84" s="18"/>
      <c r="E84" s="18"/>
      <c r="F84" s="18"/>
      <c r="G84" s="18"/>
      <c r="H84" s="18"/>
      <c r="I84" s="18"/>
      <c r="J84" s="18"/>
    </row>
    <row r="85" spans="3:10" x14ac:dyDescent="0.35">
      <c r="C85" s="18"/>
      <c r="D85" s="18"/>
      <c r="E85" s="18"/>
      <c r="F85" s="18"/>
      <c r="G85" s="18"/>
      <c r="H85" s="18"/>
      <c r="I85" s="18"/>
      <c r="J85" s="18"/>
    </row>
    <row r="86" spans="3:10" x14ac:dyDescent="0.35">
      <c r="C86" s="18"/>
      <c r="D86" s="18"/>
      <c r="E86" s="18"/>
      <c r="F86" s="18"/>
      <c r="G86" s="18"/>
      <c r="H86" s="18"/>
      <c r="I86" s="18"/>
      <c r="J86" s="18"/>
    </row>
    <row r="87" spans="3:10" x14ac:dyDescent="0.35">
      <c r="C87" s="18"/>
      <c r="D87" s="18"/>
      <c r="E87" s="18"/>
      <c r="F87" s="18"/>
      <c r="G87" s="18"/>
      <c r="H87" s="18"/>
      <c r="I87" s="18"/>
      <c r="J87" s="18"/>
    </row>
    <row r="88" spans="3:10" x14ac:dyDescent="0.35">
      <c r="C88" s="18"/>
      <c r="D88" s="18"/>
      <c r="E88" s="18"/>
      <c r="F88" s="18"/>
      <c r="G88" s="18"/>
      <c r="H88" s="18"/>
      <c r="I88" s="18"/>
      <c r="J88" s="18"/>
    </row>
    <row r="89" spans="3:10" x14ac:dyDescent="0.35">
      <c r="C89" s="18"/>
      <c r="D89" s="18"/>
      <c r="E89" s="18"/>
      <c r="F89" s="18"/>
      <c r="G89" s="18"/>
      <c r="H89" s="18"/>
      <c r="I89" s="18"/>
      <c r="J89" s="18"/>
    </row>
    <row r="90" spans="3:10" x14ac:dyDescent="0.35">
      <c r="C90" s="18"/>
      <c r="D90" s="18"/>
      <c r="E90" s="18"/>
      <c r="F90" s="18"/>
      <c r="G90" s="18"/>
      <c r="H90" s="18"/>
      <c r="I90" s="18"/>
      <c r="J90" s="18"/>
    </row>
    <row r="91" spans="3:10" x14ac:dyDescent="0.35">
      <c r="C91" s="18"/>
      <c r="D91" s="18"/>
      <c r="E91" s="18"/>
      <c r="F91" s="18"/>
      <c r="G91" s="18"/>
      <c r="H91" s="18"/>
      <c r="I91" s="18"/>
      <c r="J91" s="18"/>
    </row>
    <row r="92" spans="3:10" x14ac:dyDescent="0.35">
      <c r="C92" s="18"/>
      <c r="D92" s="18"/>
      <c r="E92" s="18"/>
      <c r="F92" s="18"/>
      <c r="G92" s="18"/>
      <c r="H92" s="18"/>
      <c r="I92" s="18"/>
      <c r="J92" s="18"/>
    </row>
    <row r="93" spans="3:10" x14ac:dyDescent="0.35">
      <c r="C93" s="18"/>
      <c r="D93" s="18"/>
      <c r="E93" s="18"/>
      <c r="F93" s="18"/>
      <c r="G93" s="18"/>
      <c r="H93" s="18"/>
      <c r="I93" s="18"/>
      <c r="J93" s="18"/>
    </row>
    <row r="94" spans="3:10" x14ac:dyDescent="0.35">
      <c r="C94" s="18"/>
      <c r="D94" s="18"/>
      <c r="E94" s="18"/>
      <c r="F94" s="18"/>
      <c r="G94" s="18"/>
      <c r="H94" s="18"/>
      <c r="I94" s="18"/>
      <c r="J94" s="18"/>
    </row>
    <row r="95" spans="3:10" x14ac:dyDescent="0.35">
      <c r="C95" s="18"/>
      <c r="D95" s="18"/>
      <c r="E95" s="18"/>
      <c r="F95" s="18"/>
      <c r="G95" s="18"/>
      <c r="H95" s="18"/>
      <c r="I95" s="18"/>
      <c r="J95" s="18"/>
    </row>
    <row r="96" spans="3:10" x14ac:dyDescent="0.35">
      <c r="C96" s="18"/>
      <c r="D96" s="18"/>
      <c r="E96" s="18"/>
      <c r="F96" s="18"/>
      <c r="G96" s="18"/>
      <c r="H96" s="18"/>
      <c r="I96" s="18"/>
      <c r="J96" s="18"/>
    </row>
    <row r="97" spans="3:10" x14ac:dyDescent="0.35">
      <c r="C97" s="18"/>
      <c r="D97" s="18"/>
      <c r="E97" s="18"/>
      <c r="F97" s="18"/>
      <c r="G97" s="18"/>
      <c r="H97" s="18"/>
      <c r="I97" s="18"/>
      <c r="J97" s="18"/>
    </row>
    <row r="98" spans="3:10" x14ac:dyDescent="0.35">
      <c r="C98" s="18"/>
      <c r="D98" s="18"/>
      <c r="E98" s="18"/>
      <c r="F98" s="18"/>
      <c r="G98" s="18"/>
      <c r="H98" s="18"/>
      <c r="I98" s="18"/>
      <c r="J98" s="18"/>
    </row>
    <row r="99" spans="3:10" x14ac:dyDescent="0.35">
      <c r="C99" s="18"/>
      <c r="D99" s="18"/>
      <c r="E99" s="18"/>
      <c r="F99" s="18"/>
      <c r="G99" s="18"/>
      <c r="H99" s="18"/>
      <c r="I99" s="18"/>
      <c r="J99" s="18"/>
    </row>
    <row r="100" spans="3:10" x14ac:dyDescent="0.35">
      <c r="C100" s="18"/>
      <c r="D100" s="18"/>
      <c r="E100" s="18"/>
      <c r="F100" s="18"/>
      <c r="G100" s="18"/>
      <c r="H100" s="18"/>
      <c r="I100" s="18"/>
      <c r="J100" s="18"/>
    </row>
    <row r="101" spans="3:10" x14ac:dyDescent="0.35">
      <c r="C101" s="18"/>
      <c r="D101" s="18"/>
      <c r="E101" s="18"/>
      <c r="F101" s="18"/>
      <c r="G101" s="18"/>
      <c r="H101" s="18"/>
      <c r="I101" s="18"/>
      <c r="J101" s="18"/>
    </row>
    <row r="102" spans="3:10" x14ac:dyDescent="0.35">
      <c r="C102" s="18"/>
      <c r="D102" s="18"/>
      <c r="E102" s="18"/>
      <c r="F102" s="18"/>
      <c r="G102" s="18"/>
      <c r="H102" s="18"/>
      <c r="I102" s="18"/>
      <c r="J102" s="18"/>
    </row>
    <row r="103" spans="3:10" x14ac:dyDescent="0.35">
      <c r="C103" s="18"/>
      <c r="D103" s="18"/>
      <c r="E103" s="18"/>
      <c r="F103" s="18"/>
      <c r="G103" s="18"/>
      <c r="H103" s="18"/>
      <c r="I103" s="18"/>
      <c r="J103" s="18"/>
    </row>
    <row r="104" spans="3:10" x14ac:dyDescent="0.35">
      <c r="C104" s="18"/>
      <c r="D104" s="18"/>
      <c r="E104" s="18"/>
      <c r="F104" s="18"/>
      <c r="G104" s="18"/>
      <c r="H104" s="18"/>
      <c r="I104" s="18"/>
      <c r="J104" s="18"/>
    </row>
    <row r="105" spans="3:10" x14ac:dyDescent="0.35">
      <c r="C105" s="18"/>
      <c r="D105" s="18"/>
      <c r="E105" s="18"/>
      <c r="F105" s="18"/>
      <c r="G105" s="18"/>
      <c r="H105" s="18"/>
      <c r="I105" s="18"/>
      <c r="J105" s="18"/>
    </row>
    <row r="106" spans="3:10" x14ac:dyDescent="0.35">
      <c r="C106" s="18"/>
      <c r="D106" s="18"/>
      <c r="E106" s="18"/>
      <c r="F106" s="18"/>
      <c r="G106" s="18"/>
      <c r="H106" s="18"/>
      <c r="I106" s="18"/>
      <c r="J106" s="18"/>
    </row>
    <row r="107" spans="3:10" x14ac:dyDescent="0.35">
      <c r="C107" s="18"/>
      <c r="D107" s="18"/>
      <c r="E107" s="18"/>
      <c r="F107" s="18"/>
      <c r="G107" s="18"/>
      <c r="H107" s="18"/>
      <c r="I107" s="18"/>
      <c r="J107" s="18"/>
    </row>
    <row r="108" spans="3:10" x14ac:dyDescent="0.35">
      <c r="C108" s="18"/>
      <c r="D108" s="18"/>
      <c r="E108" s="18"/>
      <c r="F108" s="18"/>
      <c r="G108" s="18"/>
      <c r="H108" s="18"/>
      <c r="I108" s="18"/>
      <c r="J108" s="18"/>
    </row>
    <row r="109" spans="3:10" x14ac:dyDescent="0.35">
      <c r="C109" s="18"/>
      <c r="D109" s="18"/>
      <c r="E109" s="18"/>
      <c r="F109" s="18"/>
      <c r="G109" s="18"/>
      <c r="H109" s="18"/>
      <c r="I109" s="18"/>
      <c r="J109" s="18"/>
    </row>
    <row r="110" spans="3:10" x14ac:dyDescent="0.35">
      <c r="C110" s="18"/>
      <c r="D110" s="18"/>
      <c r="E110" s="18"/>
      <c r="F110" s="18"/>
      <c r="G110" s="18"/>
      <c r="H110" s="18"/>
      <c r="I110" s="18"/>
      <c r="J110" s="18"/>
    </row>
    <row r="111" spans="3:10" x14ac:dyDescent="0.35">
      <c r="C111" s="18"/>
      <c r="D111" s="18"/>
      <c r="E111" s="18"/>
      <c r="F111" s="18"/>
      <c r="G111" s="18"/>
      <c r="H111" s="18"/>
      <c r="I111" s="18"/>
      <c r="J111" s="18"/>
    </row>
    <row r="112" spans="3:10" x14ac:dyDescent="0.35">
      <c r="C112" s="18"/>
      <c r="D112" s="18"/>
      <c r="E112" s="18"/>
      <c r="F112" s="18"/>
      <c r="G112" s="18"/>
      <c r="H112" s="18"/>
      <c r="I112" s="18"/>
      <c r="J112" s="18"/>
    </row>
    <row r="113" spans="3:10" x14ac:dyDescent="0.35">
      <c r="C113" s="18"/>
      <c r="D113" s="18"/>
      <c r="E113" s="18"/>
      <c r="F113" s="18"/>
      <c r="G113" s="18"/>
      <c r="H113" s="18"/>
      <c r="I113" s="18"/>
      <c r="J113" s="18"/>
    </row>
    <row r="114" spans="3:10" x14ac:dyDescent="0.35">
      <c r="C114" s="18"/>
      <c r="D114" s="18"/>
      <c r="E114" s="18"/>
      <c r="F114" s="18"/>
      <c r="G114" s="18"/>
      <c r="H114" s="18"/>
      <c r="I114" s="18"/>
      <c r="J114" s="18"/>
    </row>
    <row r="115" spans="3:10" x14ac:dyDescent="0.35">
      <c r="C115" s="18"/>
      <c r="D115" s="18"/>
      <c r="E115" s="18"/>
      <c r="F115" s="18"/>
      <c r="G115" s="18"/>
      <c r="H115" s="18"/>
      <c r="I115" s="18"/>
      <c r="J115" s="18"/>
    </row>
    <row r="116" spans="3:10" x14ac:dyDescent="0.35">
      <c r="C116" s="18"/>
      <c r="D116" s="18"/>
      <c r="E116" s="18"/>
      <c r="F116" s="18"/>
      <c r="G116" s="18"/>
      <c r="H116" s="18"/>
      <c r="I116" s="18"/>
      <c r="J116" s="18"/>
    </row>
    <row r="117" spans="3:10" x14ac:dyDescent="0.35">
      <c r="C117" s="18"/>
      <c r="D117" s="18"/>
      <c r="E117" s="18"/>
      <c r="F117" s="18"/>
      <c r="G117" s="18"/>
      <c r="H117" s="18"/>
      <c r="I117" s="18"/>
      <c r="J117" s="18"/>
    </row>
    <row r="118" spans="3:10" x14ac:dyDescent="0.35">
      <c r="C118" s="18"/>
      <c r="D118" s="18"/>
      <c r="E118" s="18"/>
      <c r="F118" s="18"/>
      <c r="G118" s="18"/>
      <c r="H118" s="18"/>
      <c r="I118" s="18"/>
      <c r="J118" s="18"/>
    </row>
    <row r="119" spans="3:10" x14ac:dyDescent="0.35">
      <c r="C119" s="18"/>
      <c r="D119" s="18"/>
      <c r="E119" s="18"/>
      <c r="F119" s="18"/>
      <c r="G119" s="18"/>
      <c r="H119" s="18"/>
      <c r="I119" s="18"/>
      <c r="J119" s="18"/>
    </row>
    <row r="120" spans="3:10" x14ac:dyDescent="0.35">
      <c r="C120" s="18"/>
      <c r="D120" s="18"/>
      <c r="E120" s="18"/>
      <c r="F120" s="18"/>
      <c r="G120" s="18"/>
      <c r="H120" s="18"/>
      <c r="I120" s="18"/>
      <c r="J120" s="18"/>
    </row>
    <row r="121" spans="3:10" x14ac:dyDescent="0.35">
      <c r="C121" s="18"/>
      <c r="D121" s="18"/>
      <c r="E121" s="18"/>
      <c r="F121" s="18"/>
      <c r="G121" s="18"/>
      <c r="H121" s="18"/>
      <c r="I121" s="18"/>
      <c r="J121" s="18"/>
    </row>
    <row r="122" spans="3:10" x14ac:dyDescent="0.35">
      <c r="C122" s="18"/>
      <c r="D122" s="18"/>
      <c r="E122" s="18"/>
      <c r="F122" s="18"/>
      <c r="G122" s="18"/>
      <c r="H122" s="18"/>
      <c r="I122" s="18"/>
      <c r="J122" s="18"/>
    </row>
    <row r="123" spans="3:10" x14ac:dyDescent="0.35">
      <c r="C123" s="18"/>
      <c r="D123" s="18"/>
      <c r="E123" s="18"/>
      <c r="F123" s="18"/>
      <c r="G123" s="18"/>
      <c r="H123" s="18"/>
      <c r="I123" s="18"/>
      <c r="J123" s="18"/>
    </row>
    <row r="124" spans="3:10" x14ac:dyDescent="0.35">
      <c r="C124" s="18"/>
      <c r="D124" s="18"/>
      <c r="E124" s="18"/>
      <c r="F124" s="18"/>
      <c r="G124" s="18"/>
      <c r="H124" s="18"/>
      <c r="I124" s="18"/>
      <c r="J124" s="18"/>
    </row>
    <row r="125" spans="3:10" x14ac:dyDescent="0.35">
      <c r="C125" s="18"/>
      <c r="D125" s="18"/>
      <c r="E125" s="18"/>
      <c r="F125" s="18"/>
      <c r="G125" s="18"/>
      <c r="H125" s="18"/>
      <c r="I125" s="18"/>
      <c r="J125" s="18"/>
    </row>
    <row r="126" spans="3:10" x14ac:dyDescent="0.35">
      <c r="C126" s="18"/>
      <c r="D126" s="18"/>
      <c r="E126" s="18"/>
      <c r="F126" s="18"/>
      <c r="G126" s="18"/>
      <c r="H126" s="18"/>
      <c r="I126" s="18"/>
      <c r="J126" s="18"/>
    </row>
    <row r="127" spans="3:10" x14ac:dyDescent="0.35">
      <c r="C127" s="18"/>
      <c r="D127" s="18"/>
      <c r="E127" s="18"/>
      <c r="F127" s="18"/>
      <c r="G127" s="18"/>
      <c r="H127" s="18"/>
      <c r="I127" s="18"/>
      <c r="J127" s="18"/>
    </row>
    <row r="128" spans="3:10" x14ac:dyDescent="0.35">
      <c r="C128" s="18"/>
      <c r="D128" s="18"/>
      <c r="E128" s="18"/>
      <c r="F128" s="18"/>
      <c r="G128" s="18"/>
      <c r="H128" s="18"/>
      <c r="I128" s="18"/>
      <c r="J128" s="18"/>
    </row>
    <row r="129" spans="3:10" x14ac:dyDescent="0.35">
      <c r="C129" s="18"/>
      <c r="D129" s="18"/>
      <c r="E129" s="18"/>
      <c r="F129" s="18"/>
      <c r="G129" s="18"/>
      <c r="H129" s="18"/>
      <c r="I129" s="18"/>
      <c r="J129" s="18"/>
    </row>
    <row r="130" spans="3:10" x14ac:dyDescent="0.35">
      <c r="C130" s="18"/>
      <c r="D130" s="18"/>
      <c r="E130" s="18"/>
      <c r="F130" s="18"/>
      <c r="G130" s="18"/>
      <c r="H130" s="18"/>
      <c r="I130" s="18"/>
      <c r="J130" s="18"/>
    </row>
    <row r="131" spans="3:10" x14ac:dyDescent="0.35">
      <c r="C131" s="18"/>
      <c r="D131" s="18"/>
      <c r="E131" s="18"/>
      <c r="F131" s="18"/>
      <c r="G131" s="18"/>
      <c r="H131" s="18"/>
      <c r="I131" s="18"/>
      <c r="J131" s="18"/>
    </row>
    <row r="132" spans="3:10" x14ac:dyDescent="0.35">
      <c r="C132" s="18"/>
      <c r="D132" s="18"/>
      <c r="E132" s="18"/>
      <c r="F132" s="18"/>
      <c r="G132" s="18"/>
      <c r="H132" s="18"/>
      <c r="I132" s="18"/>
      <c r="J132" s="18"/>
    </row>
    <row r="133" spans="3:10" x14ac:dyDescent="0.35">
      <c r="C133" s="18"/>
      <c r="D133" s="18"/>
      <c r="E133" s="18"/>
      <c r="F133" s="18"/>
      <c r="G133" s="18"/>
      <c r="H133" s="18"/>
      <c r="I133" s="18"/>
      <c r="J133" s="18"/>
    </row>
    <row r="134" spans="3:10" x14ac:dyDescent="0.35">
      <c r="C134" s="18"/>
      <c r="D134" s="18"/>
      <c r="E134" s="18"/>
      <c r="F134" s="18"/>
      <c r="G134" s="18"/>
      <c r="H134" s="18"/>
      <c r="I134" s="18"/>
      <c r="J134" s="18"/>
    </row>
    <row r="135" spans="3:10" x14ac:dyDescent="0.35">
      <c r="C135" s="18"/>
      <c r="D135" s="18"/>
      <c r="E135" s="18"/>
      <c r="F135" s="18"/>
      <c r="G135" s="18"/>
      <c r="H135" s="18"/>
      <c r="I135" s="18"/>
      <c r="J135" s="18"/>
    </row>
    <row r="136" spans="3:10" x14ac:dyDescent="0.35">
      <c r="C136" s="18"/>
      <c r="D136" s="18"/>
      <c r="E136" s="18"/>
      <c r="F136" s="18"/>
      <c r="G136" s="18"/>
      <c r="H136" s="18"/>
      <c r="I136" s="18"/>
      <c r="J136" s="18"/>
    </row>
    <row r="137" spans="3:10" x14ac:dyDescent="0.35">
      <c r="C137" s="18"/>
      <c r="D137" s="18"/>
      <c r="E137" s="18"/>
      <c r="F137" s="18"/>
      <c r="G137" s="18"/>
      <c r="H137" s="18"/>
      <c r="I137" s="18"/>
      <c r="J137" s="18"/>
    </row>
    <row r="138" spans="3:10" x14ac:dyDescent="0.35">
      <c r="C138" s="18"/>
      <c r="D138" s="18"/>
      <c r="E138" s="18"/>
      <c r="F138" s="18"/>
      <c r="G138" s="18"/>
      <c r="H138" s="18"/>
      <c r="I138" s="18"/>
      <c r="J138" s="18"/>
    </row>
    <row r="139" spans="3:10" x14ac:dyDescent="0.35">
      <c r="C139" s="18"/>
      <c r="D139" s="18"/>
      <c r="E139" s="18"/>
      <c r="F139" s="18"/>
      <c r="G139" s="18"/>
      <c r="H139" s="18"/>
      <c r="I139" s="18"/>
      <c r="J139" s="18"/>
    </row>
    <row r="140" spans="3:10" x14ac:dyDescent="0.35">
      <c r="C140" s="18"/>
      <c r="D140" s="18"/>
      <c r="E140" s="18"/>
      <c r="F140" s="18"/>
      <c r="G140" s="18"/>
      <c r="H140" s="18"/>
      <c r="I140" s="18"/>
      <c r="J140" s="18"/>
    </row>
    <row r="141" spans="3:10" x14ac:dyDescent="0.35">
      <c r="C141" s="18"/>
      <c r="D141" s="18"/>
      <c r="E141" s="18"/>
      <c r="F141" s="18"/>
      <c r="G141" s="18"/>
      <c r="H141" s="18"/>
      <c r="I141" s="18"/>
      <c r="J141" s="18"/>
    </row>
    <row r="142" spans="3:10" x14ac:dyDescent="0.35">
      <c r="C142" s="18"/>
      <c r="D142" s="18"/>
      <c r="E142" s="18"/>
      <c r="F142" s="18"/>
      <c r="G142" s="18"/>
      <c r="H142" s="18"/>
      <c r="I142" s="18"/>
      <c r="J142" s="18"/>
    </row>
    <row r="143" spans="3:10" x14ac:dyDescent="0.35">
      <c r="C143" s="18"/>
      <c r="D143" s="18"/>
      <c r="E143" s="18"/>
      <c r="F143" s="18"/>
      <c r="G143" s="18"/>
      <c r="H143" s="18"/>
      <c r="I143" s="18"/>
      <c r="J143" s="18"/>
    </row>
    <row r="144" spans="3:10" x14ac:dyDescent="0.35">
      <c r="C144" s="18"/>
      <c r="D144" s="18"/>
      <c r="E144" s="18"/>
      <c r="F144" s="18"/>
      <c r="G144" s="18"/>
      <c r="H144" s="18"/>
      <c r="I144" s="18"/>
      <c r="J144" s="18"/>
    </row>
    <row r="145" spans="3:10" x14ac:dyDescent="0.35">
      <c r="C145" s="18"/>
      <c r="D145" s="18"/>
      <c r="E145" s="18"/>
      <c r="F145" s="18"/>
      <c r="G145" s="18"/>
      <c r="H145" s="18"/>
      <c r="I145" s="18"/>
      <c r="J145" s="18"/>
    </row>
    <row r="146" spans="3:10" x14ac:dyDescent="0.35">
      <c r="C146" s="18"/>
      <c r="D146" s="18"/>
      <c r="E146" s="18"/>
      <c r="F146" s="18"/>
      <c r="G146" s="18"/>
      <c r="H146" s="18"/>
      <c r="I146" s="18"/>
      <c r="J146" s="18"/>
    </row>
    <row r="147" spans="3:10" x14ac:dyDescent="0.35">
      <c r="C147" s="18"/>
      <c r="D147" s="18"/>
      <c r="E147" s="18"/>
      <c r="F147" s="18"/>
      <c r="G147" s="18"/>
      <c r="H147" s="18"/>
      <c r="I147" s="18"/>
      <c r="J147" s="18"/>
    </row>
    <row r="148" spans="3:10" x14ac:dyDescent="0.35">
      <c r="C148" s="18"/>
      <c r="D148" s="18"/>
      <c r="E148" s="18"/>
      <c r="F148" s="18"/>
      <c r="G148" s="18"/>
      <c r="H148" s="18"/>
      <c r="I148" s="18"/>
      <c r="J148" s="18"/>
    </row>
    <row r="149" spans="3:10" x14ac:dyDescent="0.35">
      <c r="C149" s="18"/>
      <c r="D149" s="18"/>
      <c r="E149" s="18"/>
      <c r="F149" s="18"/>
      <c r="G149" s="18"/>
      <c r="H149" s="18"/>
      <c r="I149" s="18"/>
      <c r="J149" s="18"/>
    </row>
    <row r="150" spans="3:10" x14ac:dyDescent="0.35">
      <c r="C150" s="18"/>
      <c r="D150" s="18"/>
      <c r="E150" s="18"/>
      <c r="F150" s="18"/>
      <c r="G150" s="18"/>
      <c r="H150" s="18"/>
      <c r="I150" s="18"/>
      <c r="J150" s="18"/>
    </row>
    <row r="151" spans="3:10" x14ac:dyDescent="0.35">
      <c r="C151" s="18"/>
      <c r="D151" s="18"/>
      <c r="E151" s="18"/>
      <c r="F151" s="18"/>
      <c r="G151" s="18"/>
      <c r="H151" s="18"/>
      <c r="I151" s="18"/>
      <c r="J151" s="18"/>
    </row>
    <row r="152" spans="3:10" x14ac:dyDescent="0.35">
      <c r="C152" s="18"/>
      <c r="D152" s="18"/>
      <c r="E152" s="18"/>
      <c r="F152" s="18"/>
      <c r="G152" s="18"/>
      <c r="H152" s="18"/>
      <c r="I152" s="18"/>
      <c r="J152" s="18"/>
    </row>
    <row r="153" spans="3:10" x14ac:dyDescent="0.35">
      <c r="C153" s="18"/>
      <c r="D153" s="18"/>
      <c r="E153" s="18"/>
      <c r="F153" s="18"/>
      <c r="G153" s="18"/>
      <c r="H153" s="18"/>
      <c r="I153" s="18"/>
      <c r="J153" s="18"/>
    </row>
    <row r="154" spans="3:10" x14ac:dyDescent="0.35">
      <c r="C154" s="18"/>
      <c r="D154" s="18"/>
      <c r="E154" s="18"/>
      <c r="F154" s="18"/>
      <c r="G154" s="18"/>
      <c r="H154" s="18"/>
      <c r="I154" s="18"/>
      <c r="J154" s="18"/>
    </row>
    <row r="155" spans="3:10" x14ac:dyDescent="0.35">
      <c r="C155" s="18"/>
      <c r="D155" s="18"/>
      <c r="E155" s="18"/>
      <c r="F155" s="18"/>
      <c r="G155" s="18"/>
      <c r="H155" s="18"/>
      <c r="I155" s="18"/>
      <c r="J155" s="18"/>
    </row>
    <row r="156" spans="3:10" x14ac:dyDescent="0.35">
      <c r="C156" s="18"/>
      <c r="D156" s="18"/>
      <c r="E156" s="18"/>
      <c r="F156" s="18"/>
      <c r="G156" s="18"/>
      <c r="H156" s="18"/>
      <c r="I156" s="18"/>
      <c r="J156" s="18"/>
    </row>
    <row r="157" spans="3:10" x14ac:dyDescent="0.35">
      <c r="C157" s="18"/>
      <c r="D157" s="18"/>
      <c r="E157" s="18"/>
      <c r="F157" s="18"/>
      <c r="G157" s="18"/>
      <c r="H157" s="18"/>
      <c r="I157" s="18"/>
      <c r="J157" s="18"/>
    </row>
    <row r="158" spans="3:10" x14ac:dyDescent="0.35">
      <c r="C158" s="18"/>
      <c r="D158" s="18"/>
      <c r="E158" s="18"/>
      <c r="F158" s="18"/>
      <c r="G158" s="18"/>
      <c r="H158" s="18"/>
      <c r="I158" s="18"/>
      <c r="J158" s="18"/>
    </row>
    <row r="159" spans="3:10" x14ac:dyDescent="0.35">
      <c r="C159" s="18"/>
      <c r="D159" s="18"/>
      <c r="E159" s="18"/>
      <c r="F159" s="18"/>
      <c r="G159" s="18"/>
      <c r="H159" s="18"/>
      <c r="I159" s="18"/>
      <c r="J159" s="18"/>
    </row>
    <row r="160" spans="3:10" x14ac:dyDescent="0.35">
      <c r="C160" s="18"/>
      <c r="D160" s="18"/>
      <c r="E160" s="18"/>
      <c r="F160" s="18"/>
      <c r="G160" s="18"/>
      <c r="H160" s="18"/>
      <c r="I160" s="18"/>
      <c r="J160" s="18"/>
    </row>
    <row r="161" spans="3:10" x14ac:dyDescent="0.35">
      <c r="C161" s="18"/>
      <c r="D161" s="18"/>
      <c r="E161" s="18"/>
      <c r="F161" s="18"/>
      <c r="G161" s="18"/>
      <c r="H161" s="18"/>
      <c r="I161" s="18"/>
      <c r="J161" s="18"/>
    </row>
    <row r="162" spans="3:10" x14ac:dyDescent="0.35">
      <c r="C162" s="18"/>
      <c r="D162" s="18"/>
      <c r="E162" s="18"/>
      <c r="F162" s="18"/>
      <c r="G162" s="18"/>
      <c r="H162" s="18"/>
      <c r="I162" s="18"/>
      <c r="J162" s="18"/>
    </row>
    <row r="163" spans="3:10" x14ac:dyDescent="0.35">
      <c r="C163" s="18"/>
      <c r="D163" s="18"/>
      <c r="E163" s="18"/>
      <c r="F163" s="18"/>
      <c r="G163" s="18"/>
      <c r="H163" s="18"/>
      <c r="I163" s="18"/>
      <c r="J163" s="18"/>
    </row>
    <row r="164" spans="3:10" x14ac:dyDescent="0.35">
      <c r="C164" s="18"/>
      <c r="D164" s="18"/>
      <c r="E164" s="18"/>
      <c r="F164" s="18"/>
      <c r="G164" s="18"/>
      <c r="H164" s="18"/>
      <c r="I164" s="18"/>
      <c r="J164" s="18"/>
    </row>
    <row r="165" spans="3:10" x14ac:dyDescent="0.35">
      <c r="C165" s="18"/>
      <c r="D165" s="18"/>
      <c r="E165" s="18"/>
      <c r="F165" s="18"/>
      <c r="G165" s="18"/>
      <c r="H165" s="18"/>
      <c r="I165" s="18"/>
      <c r="J165" s="18"/>
    </row>
    <row r="166" spans="3:10" x14ac:dyDescent="0.35">
      <c r="C166" s="18"/>
      <c r="D166" s="18"/>
      <c r="E166" s="18"/>
      <c r="F166" s="18"/>
      <c r="G166" s="18"/>
      <c r="H166" s="18"/>
      <c r="I166" s="18"/>
      <c r="J166" s="18"/>
    </row>
    <row r="167" spans="3:10" x14ac:dyDescent="0.35">
      <c r="C167" s="18"/>
      <c r="D167" s="18"/>
      <c r="E167" s="18"/>
      <c r="F167" s="18"/>
      <c r="G167" s="18"/>
      <c r="H167" s="18"/>
      <c r="I167" s="18"/>
      <c r="J167" s="18"/>
    </row>
    <row r="168" spans="3:10" x14ac:dyDescent="0.35">
      <c r="C168" s="18"/>
      <c r="D168" s="18"/>
      <c r="E168" s="18"/>
      <c r="F168" s="18"/>
      <c r="G168" s="18"/>
      <c r="H168" s="18"/>
      <c r="I168" s="18"/>
      <c r="J168" s="18"/>
    </row>
    <row r="169" spans="3:10" x14ac:dyDescent="0.35">
      <c r="C169" s="18"/>
      <c r="D169" s="18"/>
      <c r="E169" s="18"/>
      <c r="F169" s="18"/>
      <c r="G169" s="18"/>
      <c r="H169" s="18"/>
      <c r="I169" s="18"/>
      <c r="J169" s="18"/>
    </row>
    <row r="170" spans="3:10" x14ac:dyDescent="0.35">
      <c r="C170" s="18"/>
      <c r="D170" s="18"/>
      <c r="E170" s="18"/>
      <c r="F170" s="18"/>
      <c r="G170" s="18"/>
      <c r="H170" s="18"/>
      <c r="I170" s="18"/>
      <c r="J170" s="18"/>
    </row>
    <row r="171" spans="3:10" x14ac:dyDescent="0.35">
      <c r="C171" s="18"/>
      <c r="D171" s="18"/>
      <c r="E171" s="18"/>
      <c r="F171" s="18"/>
      <c r="G171" s="18"/>
      <c r="H171" s="18"/>
      <c r="I171" s="18"/>
      <c r="J171" s="18"/>
    </row>
    <row r="172" spans="3:10" x14ac:dyDescent="0.35">
      <c r="C172" s="18"/>
      <c r="D172" s="18"/>
      <c r="E172" s="18"/>
      <c r="F172" s="18"/>
      <c r="G172" s="18"/>
      <c r="H172" s="18"/>
      <c r="I172" s="18"/>
      <c r="J172" s="18"/>
    </row>
    <row r="173" spans="3:10" x14ac:dyDescent="0.35">
      <c r="C173" s="18"/>
      <c r="D173" s="18"/>
      <c r="E173" s="18"/>
      <c r="F173" s="18"/>
      <c r="G173" s="18"/>
      <c r="H173" s="18"/>
      <c r="I173" s="18"/>
      <c r="J173" s="18"/>
    </row>
    <row r="174" spans="3:10" x14ac:dyDescent="0.35">
      <c r="C174" s="18"/>
      <c r="D174" s="18"/>
      <c r="E174" s="18"/>
      <c r="F174" s="18"/>
      <c r="G174" s="18"/>
      <c r="H174" s="18"/>
      <c r="I174" s="18"/>
      <c r="J174" s="18"/>
    </row>
    <row r="175" spans="3:10" x14ac:dyDescent="0.35">
      <c r="C175" s="18"/>
      <c r="D175" s="18"/>
      <c r="E175" s="18"/>
      <c r="F175" s="18"/>
      <c r="G175" s="18"/>
      <c r="H175" s="18"/>
      <c r="I175" s="18"/>
      <c r="J175" s="18"/>
    </row>
    <row r="176" spans="3:10" x14ac:dyDescent="0.35">
      <c r="C176" s="18"/>
      <c r="D176" s="18"/>
      <c r="E176" s="18"/>
      <c r="F176" s="18"/>
      <c r="G176" s="18"/>
      <c r="H176" s="18"/>
      <c r="I176" s="18"/>
      <c r="J176" s="18"/>
    </row>
    <row r="177" spans="3:10" x14ac:dyDescent="0.35">
      <c r="C177" s="18"/>
      <c r="D177" s="18"/>
      <c r="E177" s="18"/>
      <c r="F177" s="18"/>
      <c r="G177" s="18"/>
      <c r="H177" s="18"/>
      <c r="I177" s="18"/>
      <c r="J177" s="18"/>
    </row>
    <row r="178" spans="3:10" x14ac:dyDescent="0.35">
      <c r="C178" s="18"/>
      <c r="D178" s="18"/>
      <c r="E178" s="18"/>
      <c r="F178" s="18"/>
      <c r="G178" s="18"/>
      <c r="H178" s="18"/>
      <c r="I178" s="18"/>
      <c r="J178" s="18"/>
    </row>
    <row r="179" spans="3:10" x14ac:dyDescent="0.35">
      <c r="C179" s="18"/>
      <c r="D179" s="18"/>
      <c r="E179" s="18"/>
      <c r="F179" s="18"/>
      <c r="G179" s="18"/>
      <c r="H179" s="18"/>
      <c r="I179" s="18"/>
      <c r="J179" s="18"/>
    </row>
    <row r="180" spans="3:10" x14ac:dyDescent="0.35">
      <c r="C180" s="18"/>
      <c r="D180" s="18"/>
      <c r="E180" s="18"/>
      <c r="F180" s="18"/>
      <c r="G180" s="18"/>
      <c r="H180" s="18"/>
      <c r="I180" s="18"/>
      <c r="J180" s="18"/>
    </row>
    <row r="181" spans="3:10" x14ac:dyDescent="0.35">
      <c r="C181" s="18"/>
      <c r="D181" s="18"/>
      <c r="E181" s="18"/>
      <c r="F181" s="18"/>
      <c r="G181" s="18"/>
      <c r="H181" s="18"/>
      <c r="I181" s="18"/>
      <c r="J181" s="18"/>
    </row>
    <row r="182" spans="3:10" x14ac:dyDescent="0.35">
      <c r="C182" s="18"/>
      <c r="D182" s="18"/>
      <c r="E182" s="18"/>
      <c r="F182" s="18"/>
      <c r="G182" s="18"/>
      <c r="H182" s="18"/>
      <c r="I182" s="18"/>
      <c r="J182" s="18"/>
    </row>
    <row r="183" spans="3:10" x14ac:dyDescent="0.35">
      <c r="C183" s="18"/>
      <c r="D183" s="18"/>
      <c r="E183" s="18"/>
      <c r="F183" s="18"/>
      <c r="G183" s="18"/>
      <c r="H183" s="18"/>
      <c r="I183" s="18"/>
      <c r="J183" s="18"/>
    </row>
    <row r="184" spans="3:10" x14ac:dyDescent="0.35">
      <c r="C184" s="18"/>
      <c r="D184" s="18"/>
      <c r="E184" s="18"/>
      <c r="F184" s="18"/>
      <c r="G184" s="18"/>
      <c r="H184" s="18"/>
      <c r="I184" s="18"/>
      <c r="J184" s="18"/>
    </row>
    <row r="185" spans="3:10" x14ac:dyDescent="0.35">
      <c r="C185" s="18"/>
      <c r="D185" s="18"/>
      <c r="E185" s="18"/>
      <c r="F185" s="18"/>
      <c r="G185" s="18"/>
      <c r="H185" s="18"/>
      <c r="I185" s="18"/>
      <c r="J185" s="18"/>
    </row>
    <row r="186" spans="3:10" x14ac:dyDescent="0.35">
      <c r="C186" s="18"/>
      <c r="D186" s="18"/>
      <c r="E186" s="18"/>
      <c r="F186" s="18"/>
      <c r="G186" s="18"/>
      <c r="H186" s="18"/>
      <c r="I186" s="18"/>
      <c r="J186" s="18"/>
    </row>
    <row r="187" spans="3:10" x14ac:dyDescent="0.35">
      <c r="C187" s="18"/>
      <c r="D187" s="18"/>
      <c r="E187" s="18"/>
      <c r="F187" s="18"/>
      <c r="G187" s="18"/>
      <c r="H187" s="18"/>
      <c r="I187" s="18"/>
      <c r="J187" s="18"/>
    </row>
    <row r="188" spans="3:10" x14ac:dyDescent="0.35">
      <c r="C188" s="18"/>
      <c r="D188" s="18"/>
      <c r="E188" s="18"/>
      <c r="F188" s="18"/>
      <c r="G188" s="18"/>
      <c r="H188" s="18"/>
      <c r="I188" s="18"/>
      <c r="J188" s="18"/>
    </row>
    <row r="189" spans="3:10" x14ac:dyDescent="0.35">
      <c r="C189" s="18"/>
      <c r="D189" s="18"/>
      <c r="E189" s="18"/>
      <c r="F189" s="18"/>
      <c r="G189" s="18"/>
      <c r="H189" s="18"/>
      <c r="I189" s="18"/>
      <c r="J189" s="18"/>
    </row>
    <row r="190" spans="3:10" x14ac:dyDescent="0.35">
      <c r="C190" s="18"/>
      <c r="D190" s="18"/>
      <c r="E190" s="18"/>
      <c r="F190" s="18"/>
      <c r="G190" s="18"/>
      <c r="H190" s="18"/>
      <c r="I190" s="18"/>
      <c r="J190" s="18"/>
    </row>
    <row r="191" spans="3:10" x14ac:dyDescent="0.35">
      <c r="C191" s="18"/>
      <c r="D191" s="18"/>
      <c r="E191" s="18"/>
      <c r="F191" s="18"/>
      <c r="G191" s="18"/>
      <c r="H191" s="18"/>
      <c r="I191" s="18"/>
      <c r="J191" s="18"/>
    </row>
    <row r="192" spans="3:10" x14ac:dyDescent="0.35">
      <c r="C192" s="18"/>
      <c r="D192" s="18"/>
      <c r="E192" s="18"/>
      <c r="F192" s="18"/>
      <c r="G192" s="18"/>
      <c r="H192" s="18"/>
      <c r="I192" s="18"/>
      <c r="J192" s="18"/>
    </row>
    <row r="193" spans="3:10" x14ac:dyDescent="0.35">
      <c r="C193" s="18"/>
      <c r="D193" s="18"/>
      <c r="E193" s="18"/>
      <c r="F193" s="18"/>
      <c r="G193" s="18"/>
      <c r="H193" s="18"/>
      <c r="I193" s="18"/>
      <c r="J193" s="18"/>
    </row>
    <row r="194" spans="3:10" x14ac:dyDescent="0.35">
      <c r="C194" s="18"/>
      <c r="D194" s="18"/>
      <c r="E194" s="18"/>
      <c r="F194" s="18"/>
      <c r="G194" s="18"/>
      <c r="H194" s="18"/>
      <c r="I194" s="18"/>
      <c r="J194" s="18"/>
    </row>
    <row r="195" spans="3:10" x14ac:dyDescent="0.35">
      <c r="C195" s="18"/>
      <c r="D195" s="18"/>
      <c r="E195" s="18"/>
      <c r="F195" s="18"/>
      <c r="G195" s="18"/>
      <c r="H195" s="18"/>
      <c r="I195" s="18"/>
      <c r="J195" s="18"/>
    </row>
    <row r="196" spans="3:10" x14ac:dyDescent="0.35">
      <c r="C196" s="18"/>
      <c r="D196" s="18"/>
      <c r="E196" s="18"/>
      <c r="F196" s="18"/>
      <c r="G196" s="18"/>
      <c r="H196" s="18"/>
      <c r="I196" s="18"/>
      <c r="J196" s="18"/>
    </row>
    <row r="197" spans="3:10" x14ac:dyDescent="0.35">
      <c r="C197" s="18"/>
      <c r="D197" s="18"/>
      <c r="E197" s="18"/>
      <c r="F197" s="18"/>
      <c r="G197" s="18"/>
      <c r="H197" s="18"/>
      <c r="I197" s="18"/>
      <c r="J197" s="18"/>
    </row>
    <row r="198" spans="3:10" x14ac:dyDescent="0.35">
      <c r="C198" s="18"/>
      <c r="D198" s="18"/>
      <c r="E198" s="18"/>
      <c r="F198" s="18"/>
      <c r="G198" s="18"/>
      <c r="H198" s="18"/>
      <c r="I198" s="18"/>
      <c r="J198" s="18"/>
    </row>
    <row r="199" spans="3:10" x14ac:dyDescent="0.35">
      <c r="C199" s="18"/>
      <c r="D199" s="18"/>
      <c r="E199" s="18"/>
      <c r="F199" s="18"/>
      <c r="G199" s="18"/>
      <c r="H199" s="18"/>
      <c r="I199" s="18"/>
      <c r="J199" s="18"/>
    </row>
    <row r="200" spans="3:10" x14ac:dyDescent="0.35">
      <c r="C200" s="18"/>
      <c r="D200" s="18"/>
      <c r="E200" s="18"/>
      <c r="F200" s="18"/>
      <c r="G200" s="18"/>
      <c r="H200" s="18"/>
      <c r="I200" s="18"/>
      <c r="J200" s="18"/>
    </row>
    <row r="201" spans="3:10" x14ac:dyDescent="0.35">
      <c r="C201" s="18"/>
      <c r="D201" s="18"/>
      <c r="E201" s="18"/>
      <c r="F201" s="18"/>
      <c r="G201" s="18"/>
      <c r="H201" s="18"/>
      <c r="I201" s="18"/>
      <c r="J201" s="18"/>
    </row>
    <row r="202" spans="3:10" x14ac:dyDescent="0.35">
      <c r="C202" s="18"/>
      <c r="D202" s="18"/>
      <c r="E202" s="18"/>
      <c r="F202" s="18"/>
      <c r="G202" s="18"/>
      <c r="H202" s="18"/>
      <c r="I202" s="18"/>
      <c r="J202" s="18"/>
    </row>
    <row r="203" spans="3:10" x14ac:dyDescent="0.35">
      <c r="C203" s="18"/>
      <c r="D203" s="18"/>
      <c r="E203" s="18"/>
      <c r="F203" s="18"/>
      <c r="G203" s="18"/>
      <c r="H203" s="18"/>
      <c r="I203" s="18"/>
      <c r="J203" s="18"/>
    </row>
    <row r="204" spans="3:10" x14ac:dyDescent="0.35">
      <c r="C204" s="18"/>
      <c r="D204" s="18"/>
      <c r="E204" s="18"/>
      <c r="F204" s="18"/>
      <c r="G204" s="18"/>
      <c r="H204" s="18"/>
      <c r="I204" s="18"/>
      <c r="J204" s="18"/>
    </row>
    <row r="205" spans="3:10" x14ac:dyDescent="0.35">
      <c r="C205" s="18"/>
      <c r="D205" s="18"/>
      <c r="E205" s="18"/>
      <c r="F205" s="18"/>
      <c r="G205" s="18"/>
      <c r="H205" s="18"/>
      <c r="I205" s="18"/>
      <c r="J205" s="18"/>
    </row>
    <row r="206" spans="3:10" x14ac:dyDescent="0.35">
      <c r="C206" s="18"/>
      <c r="D206" s="18"/>
      <c r="E206" s="18"/>
      <c r="F206" s="18"/>
      <c r="G206" s="18"/>
      <c r="H206" s="18"/>
      <c r="I206" s="18"/>
      <c r="J206" s="18"/>
    </row>
    <row r="207" spans="3:10" x14ac:dyDescent="0.35">
      <c r="C207" s="18"/>
      <c r="D207" s="18"/>
      <c r="E207" s="18"/>
      <c r="F207" s="18"/>
      <c r="G207" s="18"/>
      <c r="H207" s="18"/>
      <c r="I207" s="18"/>
      <c r="J207" s="18"/>
    </row>
    <row r="208" spans="3:10" x14ac:dyDescent="0.35">
      <c r="C208" s="18"/>
      <c r="D208" s="18"/>
      <c r="E208" s="18"/>
      <c r="F208" s="18"/>
      <c r="G208" s="18"/>
      <c r="H208" s="18"/>
      <c r="I208" s="18"/>
      <c r="J208" s="18"/>
    </row>
    <row r="209" spans="3:10" x14ac:dyDescent="0.35">
      <c r="C209" s="18"/>
      <c r="D209" s="18"/>
      <c r="E209" s="18"/>
      <c r="F209" s="18"/>
      <c r="G209" s="18"/>
      <c r="H209" s="18"/>
      <c r="I209" s="18"/>
      <c r="J209" s="18"/>
    </row>
    <row r="210" spans="3:10" x14ac:dyDescent="0.35">
      <c r="C210" s="18"/>
      <c r="D210" s="18"/>
      <c r="E210" s="18"/>
      <c r="F210" s="18"/>
      <c r="G210" s="18"/>
      <c r="H210" s="18"/>
      <c r="I210" s="18"/>
      <c r="J210" s="18"/>
    </row>
    <row r="211" spans="3:10" x14ac:dyDescent="0.35">
      <c r="C211" s="18"/>
      <c r="D211" s="18"/>
      <c r="E211" s="18"/>
      <c r="F211" s="18"/>
      <c r="G211" s="18"/>
      <c r="H211" s="18"/>
      <c r="I211" s="18"/>
      <c r="J211" s="18"/>
    </row>
    <row r="212" spans="3:10" x14ac:dyDescent="0.35">
      <c r="C212" s="18"/>
      <c r="D212" s="18"/>
      <c r="E212" s="18"/>
      <c r="F212" s="18"/>
      <c r="G212" s="18"/>
      <c r="H212" s="18"/>
      <c r="I212" s="18"/>
      <c r="J212" s="18"/>
    </row>
    <row r="213" spans="3:10" x14ac:dyDescent="0.35">
      <c r="C213" s="18"/>
      <c r="D213" s="18"/>
      <c r="E213" s="18"/>
      <c r="F213" s="18"/>
      <c r="G213" s="18"/>
      <c r="H213" s="18"/>
      <c r="I213" s="18"/>
      <c r="J213" s="18"/>
    </row>
    <row r="214" spans="3:10" x14ac:dyDescent="0.35">
      <c r="C214" s="18"/>
      <c r="D214" s="18"/>
      <c r="E214" s="18"/>
      <c r="F214" s="18"/>
      <c r="G214" s="18"/>
      <c r="H214" s="18"/>
      <c r="I214" s="18"/>
      <c r="J214" s="18"/>
    </row>
    <row r="215" spans="3:10" x14ac:dyDescent="0.35">
      <c r="C215" s="18"/>
      <c r="D215" s="18"/>
      <c r="E215" s="18"/>
      <c r="F215" s="18"/>
      <c r="G215" s="18"/>
      <c r="H215" s="18"/>
      <c r="I215" s="18"/>
      <c r="J215" s="18"/>
    </row>
    <row r="216" spans="3:10" x14ac:dyDescent="0.35">
      <c r="C216" s="18"/>
      <c r="D216" s="18"/>
      <c r="E216" s="18"/>
      <c r="F216" s="18"/>
      <c r="G216" s="18"/>
      <c r="H216" s="18"/>
      <c r="I216" s="18"/>
      <c r="J216" s="18"/>
    </row>
    <row r="217" spans="3:10" x14ac:dyDescent="0.35">
      <c r="C217" s="18"/>
      <c r="D217" s="18"/>
      <c r="E217" s="18"/>
      <c r="F217" s="18"/>
      <c r="G217" s="18"/>
      <c r="H217" s="18"/>
      <c r="I217" s="18"/>
      <c r="J217" s="18"/>
    </row>
    <row r="218" spans="3:10" x14ac:dyDescent="0.35">
      <c r="C218" s="18"/>
      <c r="D218" s="18"/>
      <c r="E218" s="18"/>
      <c r="F218" s="18"/>
      <c r="G218" s="18"/>
      <c r="H218" s="18"/>
      <c r="I218" s="18"/>
      <c r="J218" s="18"/>
    </row>
    <row r="219" spans="3:10" x14ac:dyDescent="0.35">
      <c r="C219" s="18"/>
      <c r="D219" s="18"/>
      <c r="E219" s="18"/>
      <c r="F219" s="18"/>
      <c r="G219" s="18"/>
      <c r="H219" s="18"/>
      <c r="I219" s="18"/>
      <c r="J219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6D1F8-0964-4633-8CFC-FC9A7B29718B}">
  <dimension ref="A1:P17"/>
  <sheetViews>
    <sheetView topLeftCell="A7" zoomScale="115" zoomScaleNormal="115" workbookViewId="0">
      <selection activeCell="F13" sqref="F13"/>
    </sheetView>
  </sheetViews>
  <sheetFormatPr defaultColWidth="8.83203125" defaultRowHeight="15.5" x14ac:dyDescent="0.35"/>
  <cols>
    <col min="1" max="1" width="12.83203125" bestFit="1" customWidth="1"/>
    <col min="2" max="2" width="16.5" bestFit="1" customWidth="1"/>
    <col min="3" max="3" width="14.08203125" bestFit="1" customWidth="1"/>
    <col min="4" max="4" width="16.5" bestFit="1" customWidth="1"/>
    <col min="5" max="5" width="14.08203125" bestFit="1" customWidth="1"/>
    <col min="6" max="6" width="21.08203125" bestFit="1" customWidth="1"/>
    <col min="7" max="7" width="14.08203125" bestFit="1" customWidth="1"/>
    <col min="8" max="8" width="14.08203125" customWidth="1"/>
    <col min="9" max="9" width="16.83203125" bestFit="1" customWidth="1"/>
    <col min="10" max="10" width="14" bestFit="1" customWidth="1"/>
    <col min="11" max="11" width="14.08203125" bestFit="1" customWidth="1"/>
  </cols>
  <sheetData>
    <row r="1" spans="1:16" x14ac:dyDescent="0.35">
      <c r="B1" t="s">
        <v>41</v>
      </c>
      <c r="D1" t="s">
        <v>42</v>
      </c>
      <c r="F1" t="s">
        <v>43</v>
      </c>
      <c r="H1" t="s">
        <v>48</v>
      </c>
      <c r="I1" t="s">
        <v>44</v>
      </c>
      <c r="K1" t="s">
        <v>48</v>
      </c>
    </row>
    <row r="2" spans="1:16" x14ac:dyDescent="0.35">
      <c r="B2" t="s">
        <v>54</v>
      </c>
      <c r="C2" t="s">
        <v>58</v>
      </c>
      <c r="D2" t="s">
        <v>54</v>
      </c>
      <c r="E2" t="s">
        <v>58</v>
      </c>
      <c r="F2" t="s">
        <v>54</v>
      </c>
      <c r="G2" t="s">
        <v>58</v>
      </c>
      <c r="H2" t="s">
        <v>58</v>
      </c>
      <c r="I2" t="s">
        <v>54</v>
      </c>
      <c r="J2" t="s">
        <v>58</v>
      </c>
      <c r="K2" t="s">
        <v>58</v>
      </c>
    </row>
    <row r="3" spans="1:16" x14ac:dyDescent="0.35">
      <c r="B3" s="18"/>
      <c r="C3" s="18"/>
      <c r="F3" s="18"/>
      <c r="G3" s="18"/>
      <c r="H3" s="18"/>
      <c r="I3" s="18"/>
      <c r="J3" s="18"/>
      <c r="O3" s="18"/>
      <c r="P3" s="18"/>
    </row>
    <row r="4" spans="1:16" x14ac:dyDescent="0.35">
      <c r="A4" t="s">
        <v>25</v>
      </c>
      <c r="B4" s="18">
        <f>'Binding isotherms'!T17</f>
        <v>7.6592194107423399</v>
      </c>
      <c r="C4" s="18">
        <f>B4*((1+'Binding isotherms'!D2)/1)</f>
        <v>10.97757622044646</v>
      </c>
      <c r="D4">
        <v>20.7</v>
      </c>
      <c r="E4">
        <v>27.4</v>
      </c>
      <c r="F4" s="18">
        <f>D4*(2*35.45)/561</f>
        <v>2.6160962566844921</v>
      </c>
      <c r="G4" s="18">
        <f>E4*(2*35.45)/561</f>
        <v>3.4628520499108735</v>
      </c>
      <c r="H4" s="18">
        <f>0.1*G4</f>
        <v>0.34628520499108739</v>
      </c>
      <c r="I4" s="18">
        <f t="shared" ref="I4:J6" si="0">B4-F4</f>
        <v>5.0431231540578478</v>
      </c>
      <c r="J4" s="18">
        <f t="shared" si="0"/>
        <v>7.5147241705355867</v>
      </c>
      <c r="K4" s="18">
        <f>SQRT(H4^2+C4*SQRT(('Binding isotherms'!$U$48/'Binding isotherms'!T17)^2+(0.2)^2))</f>
        <v>1.5308502685872822</v>
      </c>
      <c r="O4" s="18"/>
      <c r="P4" s="18"/>
    </row>
    <row r="5" spans="1:16" x14ac:dyDescent="0.35">
      <c r="A5" t="s">
        <v>26</v>
      </c>
      <c r="B5" s="18">
        <f>'Binding isotherms'!T31</f>
        <v>9.3723258260378408</v>
      </c>
      <c r="C5" s="18">
        <f>B5*((1+'Binding isotherms'!D3)/1)</f>
        <v>12.983014350518919</v>
      </c>
      <c r="D5">
        <v>37.700000000000003</v>
      </c>
      <c r="E5">
        <v>52.2</v>
      </c>
      <c r="F5" s="18">
        <f t="shared" ref="F5:G6" si="1">D5*(2*35.45)/561</f>
        <v>4.7645811051693414</v>
      </c>
      <c r="G5" s="18">
        <f t="shared" si="1"/>
        <v>6.5971122994652411</v>
      </c>
      <c r="H5" s="18">
        <f t="shared" ref="H5:H6" si="2">0.1*G5</f>
        <v>0.6597112299465242</v>
      </c>
      <c r="I5" s="18">
        <f t="shared" si="0"/>
        <v>4.6077447208684994</v>
      </c>
      <c r="J5" s="18">
        <f t="shared" si="0"/>
        <v>6.3859020510536784</v>
      </c>
      <c r="K5" s="18">
        <f>SQRT(H5^2+C5*SQRT(('Binding isotherms'!$U$48/'Binding isotherms'!T31)^2+(0.2)^2))</f>
        <v>1.7475819117849338</v>
      </c>
      <c r="O5" s="18"/>
      <c r="P5" s="18"/>
    </row>
    <row r="6" spans="1:16" x14ac:dyDescent="0.35">
      <c r="A6" t="s">
        <v>27</v>
      </c>
      <c r="B6" s="18">
        <f>'Binding isotherms'!T45</f>
        <v>8.8800757590586628</v>
      </c>
      <c r="C6" s="18">
        <f>B6*((1+'Binding isotherms'!D4)/1)</f>
        <v>11.99476233154849</v>
      </c>
      <c r="D6">
        <v>42.2</v>
      </c>
      <c r="E6">
        <v>60</v>
      </c>
      <c r="F6" s="18">
        <f t="shared" si="1"/>
        <v>5.333297682709448</v>
      </c>
      <c r="G6" s="18">
        <f t="shared" si="1"/>
        <v>7.5828877005347595</v>
      </c>
      <c r="H6" s="18">
        <f t="shared" si="2"/>
        <v>0.75828877005347595</v>
      </c>
      <c r="I6" s="18">
        <f t="shared" si="0"/>
        <v>3.5467780763492147</v>
      </c>
      <c r="J6" s="18">
        <f t="shared" si="0"/>
        <v>4.4118746310137302</v>
      </c>
      <c r="K6" s="18">
        <f>SQRT(H6^2+C6*SQRT(('Binding isotherms'!$U$48/'Binding isotherms'!T45)^2+(0.2)^2))</f>
        <v>1.7311301849562128</v>
      </c>
    </row>
    <row r="7" spans="1:16" x14ac:dyDescent="0.35">
      <c r="O7" s="18"/>
      <c r="P7" s="18"/>
    </row>
    <row r="8" spans="1:16" x14ac:dyDescent="0.35">
      <c r="O8" s="18"/>
    </row>
    <row r="10" spans="1:16" x14ac:dyDescent="0.35">
      <c r="B10" s="18"/>
      <c r="C10" s="18"/>
      <c r="F10" s="18"/>
      <c r="G10" s="18"/>
      <c r="H10" s="18"/>
      <c r="I10" s="18"/>
      <c r="J10" s="18"/>
      <c r="O10" s="18"/>
      <c r="P10" s="18"/>
    </row>
    <row r="17" spans="2:10" x14ac:dyDescent="0.35">
      <c r="B17" s="18"/>
      <c r="C17" s="18"/>
      <c r="F17" s="18"/>
      <c r="G17" s="18"/>
      <c r="H17" s="18"/>
      <c r="I17" s="18"/>
      <c r="J17" s="1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Binding isotherms</vt:lpstr>
      <vt:lpstr>Water content</vt:lpstr>
      <vt:lpstr>Physically bound Cl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 Zhenguo</dc:creator>
  <cp:lastModifiedBy>Maxime Ranger</cp:lastModifiedBy>
  <cp:lastPrinted>2015-02-19T07:57:01Z</cp:lastPrinted>
  <dcterms:created xsi:type="dcterms:W3CDTF">2014-11-27T10:47:42Z</dcterms:created>
  <dcterms:modified xsi:type="dcterms:W3CDTF">2024-09-03T09:02:45Z</dcterms:modified>
</cp:coreProperties>
</file>