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ulavaldti-my.sharepoint.com/personal/maran71_ulaval_ca/Documents/Postdoc DTU/Publications/Chlorides/Submission/Data/"/>
    </mc:Choice>
  </mc:AlternateContent>
  <xr:revisionPtr revIDLastSave="3516" documentId="10_ncr:20000_{0E7DD874-7289-4DE0-9ECF-8BA75B065B60}" xr6:coauthVersionLast="47" xr6:coauthVersionMax="47" xr10:uidLastSave="{6FB35F05-4D2E-46A4-853B-CD88D172D3D3}"/>
  <bookViews>
    <workbookView xWindow="28680" yWindow="-120" windowWidth="29040" windowHeight="17520" tabRatio="672" firstSheet="1" activeTab="5" xr2:uid="{00000000-000D-0000-FFFF-FFFF00000000}"/>
  </bookViews>
  <sheets>
    <sheet name="x" sheetId="3" state="hidden" r:id="rId1"/>
    <sheet name="Migration 4w" sheetId="5" r:id="rId2"/>
    <sheet name="Diffusion 12w" sheetId="6" r:id="rId3"/>
    <sheet name="Migration 12w" sheetId="7" r:id="rId4"/>
    <sheet name="Diffusion 30w" sheetId="10" r:id="rId5"/>
    <sheet name="Graphs" sheetId="9" r:id="rId6"/>
  </sheets>
  <definedNames>
    <definedName name="solver_adj" localSheetId="2" hidden="1">'Diffusion 12w'!$W$9,'Diffusion 12w'!$W$11</definedName>
    <definedName name="solver_adj" localSheetId="4" hidden="1">'Diffusion 30w'!$W$4,'Diffusion 30w'!$W$6</definedName>
    <definedName name="solver_adj" localSheetId="3" hidden="1">'Migration 12w'!$AB$49:$AB$51</definedName>
    <definedName name="solver_adj" localSheetId="1" hidden="1">'Migration 4w'!$AG$51:$AG$53</definedName>
    <definedName name="solver_adj" localSheetId="0" hidden="1">x!$A$24</definedName>
    <definedName name="solver_cvg" localSheetId="2" hidden="1">0.0001</definedName>
    <definedName name="solver_cvg" localSheetId="4" hidden="1">0.0001</definedName>
    <definedName name="solver_cvg" localSheetId="3" hidden="1">"""""""""""""""""""""""""""""""""""""""""""""""""""""""""""""""0,0001"""""""""""""""""""""""""""""""""""""""""""""""""""""""""""""""</definedName>
    <definedName name="solver_cvg" localSheetId="1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cvg" localSheetId="0" hidden="1">0.0001</definedName>
    <definedName name="solver_drv" localSheetId="2" hidden="1">1</definedName>
    <definedName name="solver_drv" localSheetId="4" hidden="1">1</definedName>
    <definedName name="solver_drv" localSheetId="3" hidden="1">1</definedName>
    <definedName name="solver_drv" localSheetId="1" hidden="1">1</definedName>
    <definedName name="solver_drv" localSheetId="0" hidden="1">1</definedName>
    <definedName name="solver_eng" localSheetId="2" hidden="1">1</definedName>
    <definedName name="solver_eng" localSheetId="4" hidden="1">1</definedName>
    <definedName name="solver_eng" localSheetId="3" hidden="1">1</definedName>
    <definedName name="solver_eng" localSheetId="1" hidden="1">1</definedName>
    <definedName name="solver_eng" localSheetId="0" hidden="1">1</definedName>
    <definedName name="solver_est" localSheetId="2" hidden="1">1</definedName>
    <definedName name="solver_est" localSheetId="4" hidden="1">1</definedName>
    <definedName name="solver_est" localSheetId="3" hidden="1">1</definedName>
    <definedName name="solver_est" localSheetId="1" hidden="1">1</definedName>
    <definedName name="solver_est" localSheetId="0" hidden="1">1</definedName>
    <definedName name="solver_itr" localSheetId="2" hidden="1">2147483647</definedName>
    <definedName name="solver_itr" localSheetId="4" hidden="1">2147483647</definedName>
    <definedName name="solver_itr" localSheetId="3" hidden="1">2147483647</definedName>
    <definedName name="solver_itr" localSheetId="1" hidden="1">2147483647</definedName>
    <definedName name="solver_itr" localSheetId="0" hidden="1">2147483647</definedName>
    <definedName name="solver_lin" localSheetId="0" hidden="1">2</definedName>
    <definedName name="solver_mip" localSheetId="2" hidden="1">2147483647</definedName>
    <definedName name="solver_mip" localSheetId="4" hidden="1">2147483647</definedName>
    <definedName name="solver_mip" localSheetId="3" hidden="1">2147483647</definedName>
    <definedName name="solver_mip" localSheetId="1" hidden="1">2147483647</definedName>
    <definedName name="solver_mip" localSheetId="0" hidden="1">2147483647</definedName>
    <definedName name="solver_mni" localSheetId="2" hidden="1">30</definedName>
    <definedName name="solver_mni" localSheetId="4" hidden="1">30</definedName>
    <definedName name="solver_mni" localSheetId="3" hidden="1">30</definedName>
    <definedName name="solver_mni" localSheetId="1" hidden="1">30</definedName>
    <definedName name="solver_mni" localSheetId="0" hidden="1">30</definedName>
    <definedName name="solver_mrt" localSheetId="2" hidden="1">0.075</definedName>
    <definedName name="solver_mrt" localSheetId="4" hidden="1">0.075</definedName>
    <definedName name="solver_mrt" localSheetId="3" hidden="1">"""""""""""""""""""""""""""""""""""""""""""""""""""""""""""""""0,075"""""""""""""""""""""""""""""""""""""""""""""""""""""""""""""""</definedName>
    <definedName name="solver_mrt" localSheetId="1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rt" localSheetId="0" hidden="1">0.075</definedName>
    <definedName name="solver_msl" localSheetId="2" hidden="1">2</definedName>
    <definedName name="solver_msl" localSheetId="4" hidden="1">2</definedName>
    <definedName name="solver_msl" localSheetId="3" hidden="1">2</definedName>
    <definedName name="solver_msl" localSheetId="1" hidden="1">2</definedName>
    <definedName name="solver_msl" localSheetId="0" hidden="1">2</definedName>
    <definedName name="solver_neg" localSheetId="2" hidden="1">1</definedName>
    <definedName name="solver_neg" localSheetId="4" hidden="1">1</definedName>
    <definedName name="solver_neg" localSheetId="3" hidden="1">1</definedName>
    <definedName name="solver_neg" localSheetId="1" hidden="1">1</definedName>
    <definedName name="solver_neg" localSheetId="0" hidden="1">1</definedName>
    <definedName name="solver_nod" localSheetId="2" hidden="1">2147483647</definedName>
    <definedName name="solver_nod" localSheetId="4" hidden="1">2147483647</definedName>
    <definedName name="solver_nod" localSheetId="3" hidden="1">2147483647</definedName>
    <definedName name="solver_nod" localSheetId="1" hidden="1">2147483647</definedName>
    <definedName name="solver_nod" localSheetId="0" hidden="1">2147483647</definedName>
    <definedName name="solver_num" localSheetId="2" hidden="1">0</definedName>
    <definedName name="solver_num" localSheetId="4" hidden="1">0</definedName>
    <definedName name="solver_num" localSheetId="3" hidden="1">0</definedName>
    <definedName name="solver_num" localSheetId="1" hidden="1">0</definedName>
    <definedName name="solver_num" localSheetId="0" hidden="1">0</definedName>
    <definedName name="solver_nwt" localSheetId="2" hidden="1">1</definedName>
    <definedName name="solver_nwt" localSheetId="4" hidden="1">1</definedName>
    <definedName name="solver_nwt" localSheetId="3" hidden="1">1</definedName>
    <definedName name="solver_nwt" localSheetId="1" hidden="1">1</definedName>
    <definedName name="solver_nwt" localSheetId="0" hidden="1">1</definedName>
    <definedName name="solver_opt" localSheetId="2" hidden="1">'Diffusion 12w'!$W$23</definedName>
    <definedName name="solver_opt" localSheetId="4" hidden="1">'Diffusion 30w'!$W$18</definedName>
    <definedName name="solver_opt" localSheetId="3" hidden="1">'Migration 12w'!$X$53</definedName>
    <definedName name="solver_opt" localSheetId="1" hidden="1">'Migration 4w'!$AC$55</definedName>
    <definedName name="solver_opt" localSheetId="0" hidden="1">x!$B$26</definedName>
    <definedName name="solver_pre" localSheetId="2" hidden="1">0.000001</definedName>
    <definedName name="solver_pre" localSheetId="4" hidden="1">0.000001</definedName>
    <definedName name="solver_pre" localSheetId="3" hidden="1">"""""""""""""""""""""""""""""""""""""""""""""""""""""""""""""""0,000001"""""""""""""""""""""""""""""""""""""""""""""""""""""""""""""""</definedName>
    <definedName name="solver_pre" localSheetId="1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pre" localSheetId="0" hidden="1">0.000001</definedName>
    <definedName name="solver_rbv" localSheetId="2" hidden="1">1</definedName>
    <definedName name="solver_rbv" localSheetId="4" hidden="1">1</definedName>
    <definedName name="solver_rbv" localSheetId="3" hidden="1">1</definedName>
    <definedName name="solver_rbv" localSheetId="1" hidden="1">1</definedName>
    <definedName name="solver_rbv" localSheetId="0" hidden="1">1</definedName>
    <definedName name="solver_rlx" localSheetId="2" hidden="1">2</definedName>
    <definedName name="solver_rlx" localSheetId="4" hidden="1">2</definedName>
    <definedName name="solver_rlx" localSheetId="3" hidden="1">2</definedName>
    <definedName name="solver_rlx" localSheetId="1" hidden="1">2</definedName>
    <definedName name="solver_rlx" localSheetId="0" hidden="1">2</definedName>
    <definedName name="solver_rsd" localSheetId="2" hidden="1">0</definedName>
    <definedName name="solver_rsd" localSheetId="4" hidden="1">0</definedName>
    <definedName name="solver_rsd" localSheetId="3" hidden="1">0</definedName>
    <definedName name="solver_rsd" localSheetId="1" hidden="1">0</definedName>
    <definedName name="solver_rsd" localSheetId="0" hidden="1">0</definedName>
    <definedName name="solver_scl" localSheetId="2" hidden="1">1</definedName>
    <definedName name="solver_scl" localSheetId="4" hidden="1">1</definedName>
    <definedName name="solver_scl" localSheetId="3" hidden="1">1</definedName>
    <definedName name="solver_scl" localSheetId="1" hidden="1">1</definedName>
    <definedName name="solver_scl" localSheetId="0" hidden="1">1</definedName>
    <definedName name="solver_sho" localSheetId="2" hidden="1">2</definedName>
    <definedName name="solver_sho" localSheetId="4" hidden="1">2</definedName>
    <definedName name="solver_sho" localSheetId="3" hidden="1">2</definedName>
    <definedName name="solver_sho" localSheetId="1" hidden="1">2</definedName>
    <definedName name="solver_sho" localSheetId="0" hidden="1">2</definedName>
    <definedName name="solver_ssz" localSheetId="2" hidden="1">100</definedName>
    <definedName name="solver_ssz" localSheetId="4" hidden="1">100</definedName>
    <definedName name="solver_ssz" localSheetId="3" hidden="1">100</definedName>
    <definedName name="solver_ssz" localSheetId="1" hidden="1">100</definedName>
    <definedName name="solver_ssz" localSheetId="0" hidden="1">100</definedName>
    <definedName name="solver_tim" localSheetId="2" hidden="1">2147483647</definedName>
    <definedName name="solver_tim" localSheetId="4" hidden="1">2147483647</definedName>
    <definedName name="solver_tim" localSheetId="3" hidden="1">2147483647</definedName>
    <definedName name="solver_tim" localSheetId="1" hidden="1">2147483647</definedName>
    <definedName name="solver_tim" localSheetId="0" hidden="1">2147483647</definedName>
    <definedName name="solver_tol" localSheetId="2" hidden="1">1</definedName>
    <definedName name="solver_tol" localSheetId="4" hidden="1">1</definedName>
    <definedName name="solver_tol" localSheetId="3" hidden="1">0.01</definedName>
    <definedName name="solver_tol" localSheetId="1" hidden="1">0.01</definedName>
    <definedName name="solver_tol" localSheetId="0" hidden="1">1</definedName>
    <definedName name="solver_typ" localSheetId="2" hidden="1">2</definedName>
    <definedName name="solver_typ" localSheetId="4" hidden="1">2</definedName>
    <definedName name="solver_typ" localSheetId="3" hidden="1">2</definedName>
    <definedName name="solver_typ" localSheetId="1" hidden="1">2</definedName>
    <definedName name="solver_typ" localSheetId="0" hidden="1">3</definedName>
    <definedName name="solver_val" localSheetId="2" hidden="1">0</definedName>
    <definedName name="solver_val" localSheetId="4" hidden="1">0</definedName>
    <definedName name="solver_val" localSheetId="3" hidden="1">0</definedName>
    <definedName name="solver_val" localSheetId="1" hidden="1">0</definedName>
    <definedName name="solver_val" localSheetId="0" hidden="1">0</definedName>
    <definedName name="solver_ver" localSheetId="2" hidden="1">3</definedName>
    <definedName name="solver_ver" localSheetId="4" hidden="1">3</definedName>
    <definedName name="solver_ver" localSheetId="3" hidden="1">3</definedName>
    <definedName name="solver_ver" localSheetId="1" hidden="1">3</definedName>
    <definedName name="solver_ver" localSheetId="0" hidden="1">3</definedName>
    <definedName name="T" localSheetId="0">x!$E$1</definedName>
    <definedName name="T">#REF!</definedName>
    <definedName name="ti" localSheetId="0">x!$G$1</definedName>
    <definedName name="ti">#REF!</definedName>
    <definedName name="U" localSheetId="0">x!$C$1</definedName>
    <definedName name="U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4" i="5" l="1"/>
  <c r="W43" i="6"/>
  <c r="V34" i="6"/>
  <c r="Z42" i="6"/>
  <c r="Z36" i="6"/>
  <c r="Z37" i="6"/>
  <c r="Z38" i="6"/>
  <c r="Z39" i="6"/>
  <c r="Z40" i="6"/>
  <c r="Z41" i="6"/>
  <c r="Z35" i="6"/>
  <c r="Z43" i="6" l="1"/>
  <c r="R10" i="7"/>
  <c r="AB27" i="7" l="1"/>
  <c r="AB24" i="5"/>
  <c r="AC4" i="5"/>
  <c r="J6" i="6"/>
  <c r="J7" i="6"/>
  <c r="J8" i="6"/>
  <c r="J9" i="6"/>
  <c r="J10" i="6"/>
  <c r="J11" i="6"/>
  <c r="J12" i="6"/>
  <c r="J15" i="6"/>
  <c r="J16" i="6"/>
  <c r="J17" i="6"/>
  <c r="J18" i="6"/>
  <c r="J19" i="6"/>
  <c r="J20" i="6"/>
  <c r="J21" i="6"/>
  <c r="J22" i="6"/>
  <c r="J25" i="6"/>
  <c r="J26" i="6"/>
  <c r="J27" i="6"/>
  <c r="J28" i="6"/>
  <c r="J29" i="6"/>
  <c r="J30" i="6"/>
  <c r="J31" i="6"/>
  <c r="J32" i="6"/>
  <c r="J35" i="6"/>
  <c r="J36" i="6"/>
  <c r="J37" i="6"/>
  <c r="J38" i="6"/>
  <c r="J39" i="6"/>
  <c r="J40" i="6"/>
  <c r="J41" i="6"/>
  <c r="J42" i="6"/>
  <c r="J45" i="6"/>
  <c r="J46" i="6"/>
  <c r="J47" i="6"/>
  <c r="J48" i="6"/>
  <c r="J49" i="6"/>
  <c r="J50" i="6"/>
  <c r="J51" i="6"/>
  <c r="J52" i="6"/>
  <c r="J55" i="6"/>
  <c r="J56" i="6"/>
  <c r="J57" i="6"/>
  <c r="J58" i="6"/>
  <c r="J59" i="6"/>
  <c r="J60" i="6"/>
  <c r="J61" i="6"/>
  <c r="J62" i="6"/>
  <c r="J6" i="7"/>
  <c r="J7" i="7"/>
  <c r="J8" i="7"/>
  <c r="J9" i="7"/>
  <c r="J10" i="7"/>
  <c r="J11" i="7"/>
  <c r="J12" i="7"/>
  <c r="J15" i="7"/>
  <c r="J16" i="7"/>
  <c r="J17" i="7"/>
  <c r="J18" i="7"/>
  <c r="J19" i="7"/>
  <c r="J20" i="7"/>
  <c r="J21" i="7"/>
  <c r="J22" i="7"/>
  <c r="J25" i="7"/>
  <c r="J26" i="7"/>
  <c r="J27" i="7"/>
  <c r="J28" i="7"/>
  <c r="J29" i="7"/>
  <c r="J30" i="7"/>
  <c r="J31" i="7"/>
  <c r="J32" i="7"/>
  <c r="J35" i="7"/>
  <c r="J36" i="7"/>
  <c r="J37" i="7"/>
  <c r="J38" i="7"/>
  <c r="J39" i="7"/>
  <c r="J40" i="7"/>
  <c r="J41" i="7"/>
  <c r="J42" i="7"/>
  <c r="J45" i="7"/>
  <c r="J46" i="7"/>
  <c r="J47" i="7"/>
  <c r="J48" i="7"/>
  <c r="J49" i="7"/>
  <c r="J50" i="7"/>
  <c r="J51" i="7"/>
  <c r="J52" i="7"/>
  <c r="J55" i="7"/>
  <c r="J56" i="7"/>
  <c r="J57" i="7"/>
  <c r="J58" i="7"/>
  <c r="J59" i="7"/>
  <c r="J60" i="7"/>
  <c r="J61" i="7"/>
  <c r="J62" i="7"/>
  <c r="J6" i="10"/>
  <c r="J7" i="10"/>
  <c r="J8" i="10"/>
  <c r="J9" i="10"/>
  <c r="J10" i="10"/>
  <c r="J11" i="10"/>
  <c r="J12" i="10"/>
  <c r="J15" i="10"/>
  <c r="J16" i="10"/>
  <c r="J17" i="10"/>
  <c r="J18" i="10"/>
  <c r="J19" i="10"/>
  <c r="J20" i="10"/>
  <c r="J21" i="10"/>
  <c r="J22" i="10"/>
  <c r="J25" i="10"/>
  <c r="J26" i="10"/>
  <c r="J27" i="10"/>
  <c r="J28" i="10"/>
  <c r="J29" i="10"/>
  <c r="J30" i="10"/>
  <c r="J31" i="10"/>
  <c r="J32" i="10"/>
  <c r="J35" i="10"/>
  <c r="J36" i="10"/>
  <c r="J37" i="10"/>
  <c r="J38" i="10"/>
  <c r="J39" i="10"/>
  <c r="J40" i="10"/>
  <c r="J41" i="10"/>
  <c r="J42" i="10"/>
  <c r="J45" i="10"/>
  <c r="J46" i="10"/>
  <c r="J47" i="10"/>
  <c r="J48" i="10"/>
  <c r="J49" i="10"/>
  <c r="J50" i="10"/>
  <c r="J51" i="10"/>
  <c r="J52" i="10"/>
  <c r="J55" i="10"/>
  <c r="J56" i="10"/>
  <c r="J57" i="10"/>
  <c r="J58" i="10"/>
  <c r="J59" i="10"/>
  <c r="J60" i="10"/>
  <c r="J61" i="10"/>
  <c r="J62" i="10"/>
  <c r="J6" i="5"/>
  <c r="J7" i="5"/>
  <c r="J8" i="5"/>
  <c r="J9" i="5"/>
  <c r="J10" i="5"/>
  <c r="J11" i="5"/>
  <c r="J12" i="5"/>
  <c r="J15" i="5"/>
  <c r="J16" i="5"/>
  <c r="J17" i="5"/>
  <c r="J18" i="5"/>
  <c r="J19" i="5"/>
  <c r="J20" i="5"/>
  <c r="J21" i="5"/>
  <c r="J22" i="5"/>
  <c r="J25" i="5"/>
  <c r="J26" i="5"/>
  <c r="J27" i="5"/>
  <c r="J28" i="5"/>
  <c r="J29" i="5"/>
  <c r="J30" i="5"/>
  <c r="J31" i="5"/>
  <c r="J32" i="5"/>
  <c r="J33" i="5"/>
  <c r="J36" i="5"/>
  <c r="J37" i="5"/>
  <c r="J38" i="5"/>
  <c r="J39" i="5"/>
  <c r="J40" i="5"/>
  <c r="J41" i="5"/>
  <c r="J42" i="5"/>
  <c r="J43" i="5"/>
  <c r="J44" i="5"/>
  <c r="J47" i="5"/>
  <c r="J48" i="5"/>
  <c r="J49" i="5"/>
  <c r="J50" i="5"/>
  <c r="J51" i="5"/>
  <c r="J52" i="5"/>
  <c r="J53" i="5"/>
  <c r="J54" i="5"/>
  <c r="J57" i="5"/>
  <c r="J58" i="5"/>
  <c r="J59" i="5"/>
  <c r="J60" i="5"/>
  <c r="J61" i="5"/>
  <c r="J62" i="5"/>
  <c r="J63" i="5"/>
  <c r="J64" i="5"/>
  <c r="I33" i="5"/>
  <c r="I43" i="5"/>
  <c r="I44" i="5"/>
  <c r="I53" i="5"/>
  <c r="K53" i="5"/>
  <c r="I54" i="5"/>
  <c r="K54" i="5"/>
  <c r="I36" i="5"/>
  <c r="I37" i="5"/>
  <c r="I38" i="5"/>
  <c r="I39" i="5"/>
  <c r="I40" i="5"/>
  <c r="I41" i="5"/>
  <c r="I42" i="5"/>
  <c r="I47" i="5"/>
  <c r="I48" i="5"/>
  <c r="I49" i="5"/>
  <c r="I50" i="5"/>
  <c r="I51" i="5"/>
  <c r="I52" i="5"/>
  <c r="I57" i="5"/>
  <c r="I58" i="5"/>
  <c r="I59" i="5"/>
  <c r="I60" i="5"/>
  <c r="I61" i="5"/>
  <c r="I62" i="5"/>
  <c r="I63" i="5"/>
  <c r="I64" i="5"/>
  <c r="J5" i="5"/>
  <c r="J5" i="6"/>
  <c r="J5" i="7"/>
  <c r="J5" i="10"/>
  <c r="E15" i="6"/>
  <c r="P5" i="5" l="1"/>
  <c r="AB44" i="7"/>
  <c r="AB47" i="7" s="1"/>
  <c r="AB24" i="7"/>
  <c r="W24" i="7" s="1"/>
  <c r="X24" i="7" s="1"/>
  <c r="AB4" i="7"/>
  <c r="AB7" i="7" s="1"/>
  <c r="AG46" i="5"/>
  <c r="AG49" i="5" s="1"/>
  <c r="AG24" i="5"/>
  <c r="AG27" i="5" s="1"/>
  <c r="AG4" i="5"/>
  <c r="AG7" i="5" s="1"/>
  <c r="W52" i="10"/>
  <c r="W7" i="10"/>
  <c r="V16" i="10" s="1"/>
  <c r="E15" i="10"/>
  <c r="V10" i="10" s="1"/>
  <c r="I15" i="10"/>
  <c r="M15" i="10"/>
  <c r="P15" i="10"/>
  <c r="Q15" i="10"/>
  <c r="R15" i="10"/>
  <c r="E16" i="10"/>
  <c r="I16" i="10"/>
  <c r="M16" i="10"/>
  <c r="P16" i="10"/>
  <c r="Q16" i="10"/>
  <c r="R16" i="10"/>
  <c r="E17" i="10"/>
  <c r="V12" i="10" s="1"/>
  <c r="I17" i="10"/>
  <c r="M17" i="10"/>
  <c r="P17" i="10"/>
  <c r="Q17" i="10"/>
  <c r="R17" i="10"/>
  <c r="E18" i="10"/>
  <c r="V13" i="10" s="1"/>
  <c r="I18" i="10"/>
  <c r="M18" i="10"/>
  <c r="P18" i="10"/>
  <c r="Q18" i="10"/>
  <c r="R18" i="10"/>
  <c r="E19" i="10"/>
  <c r="I19" i="10"/>
  <c r="M19" i="10"/>
  <c r="P19" i="10"/>
  <c r="Q19" i="10"/>
  <c r="R19" i="10"/>
  <c r="E20" i="10"/>
  <c r="V15" i="10" s="1"/>
  <c r="I20" i="10"/>
  <c r="M20" i="10"/>
  <c r="P20" i="10"/>
  <c r="Q20" i="10"/>
  <c r="R20" i="10"/>
  <c r="E21" i="10"/>
  <c r="I21" i="10"/>
  <c r="M21" i="10"/>
  <c r="P21" i="10"/>
  <c r="Q21" i="10"/>
  <c r="R21" i="10"/>
  <c r="E22" i="10"/>
  <c r="I22" i="10"/>
  <c r="M22" i="10"/>
  <c r="P22" i="10"/>
  <c r="Q22" i="10"/>
  <c r="R22" i="10"/>
  <c r="P49" i="10"/>
  <c r="V14" i="10" l="1"/>
  <c r="V11" i="10"/>
  <c r="V17" i="10"/>
  <c r="W44" i="7"/>
  <c r="X44" i="7" s="1"/>
  <c r="AB46" i="5"/>
  <c r="AC46" i="5" s="1"/>
  <c r="AC24" i="5"/>
  <c r="W32" i="10"/>
  <c r="K27" i="10"/>
  <c r="M27" i="10" s="1"/>
  <c r="K28" i="10"/>
  <c r="M28" i="10" s="1"/>
  <c r="K29" i="10"/>
  <c r="K30" i="10"/>
  <c r="M30" i="10" s="1"/>
  <c r="K31" i="10"/>
  <c r="M31" i="10" s="1"/>
  <c r="K32" i="10"/>
  <c r="M32" i="10" s="1"/>
  <c r="M38" i="10"/>
  <c r="M41" i="10"/>
  <c r="K45" i="10"/>
  <c r="M45" i="10" s="1"/>
  <c r="K46" i="10"/>
  <c r="M46" i="10" s="1"/>
  <c r="K47" i="10"/>
  <c r="M47" i="10" s="1"/>
  <c r="K48" i="10"/>
  <c r="M48" i="10" s="1"/>
  <c r="K49" i="10"/>
  <c r="K50" i="10"/>
  <c r="K51" i="10"/>
  <c r="M51" i="10" s="1"/>
  <c r="K52" i="10"/>
  <c r="M52" i="10" s="1"/>
  <c r="R62" i="10"/>
  <c r="Q62" i="10"/>
  <c r="P62" i="10"/>
  <c r="M62" i="10"/>
  <c r="I62" i="10"/>
  <c r="E62" i="10"/>
  <c r="V62" i="10" s="1"/>
  <c r="R61" i="10"/>
  <c r="Q61" i="10"/>
  <c r="P61" i="10"/>
  <c r="M61" i="10"/>
  <c r="I61" i="10"/>
  <c r="E61" i="10"/>
  <c r="V61" i="10" s="1"/>
  <c r="R60" i="10"/>
  <c r="Q60" i="10"/>
  <c r="P60" i="10"/>
  <c r="M60" i="10"/>
  <c r="I60" i="10"/>
  <c r="E60" i="10"/>
  <c r="V60" i="10" s="1"/>
  <c r="R59" i="10"/>
  <c r="Q59" i="10"/>
  <c r="P59" i="10"/>
  <c r="M59" i="10"/>
  <c r="I59" i="10"/>
  <c r="E59" i="10"/>
  <c r="V59" i="10" s="1"/>
  <c r="R58" i="10"/>
  <c r="Q58" i="10"/>
  <c r="P58" i="10"/>
  <c r="M58" i="10"/>
  <c r="I58" i="10"/>
  <c r="E58" i="10"/>
  <c r="V58" i="10" s="1"/>
  <c r="R57" i="10"/>
  <c r="Q57" i="10"/>
  <c r="P57" i="10"/>
  <c r="M57" i="10"/>
  <c r="I57" i="10"/>
  <c r="E57" i="10"/>
  <c r="V57" i="10" s="1"/>
  <c r="R56" i="10"/>
  <c r="Q56" i="10"/>
  <c r="P56" i="10"/>
  <c r="M56" i="10"/>
  <c r="I56" i="10"/>
  <c r="E56" i="10"/>
  <c r="V56" i="10" s="1"/>
  <c r="R55" i="10"/>
  <c r="Q55" i="10"/>
  <c r="P55" i="10"/>
  <c r="M55" i="10"/>
  <c r="I55" i="10"/>
  <c r="E55" i="10"/>
  <c r="V55" i="10" s="1"/>
  <c r="Q52" i="10"/>
  <c r="P52" i="10"/>
  <c r="I52" i="10"/>
  <c r="E52" i="10"/>
  <c r="Q51" i="10"/>
  <c r="P51" i="10"/>
  <c r="I51" i="10"/>
  <c r="E51" i="10"/>
  <c r="Q50" i="10"/>
  <c r="P50" i="10"/>
  <c r="M50" i="10"/>
  <c r="I50" i="10"/>
  <c r="E50" i="10"/>
  <c r="M49" i="10"/>
  <c r="I49" i="10"/>
  <c r="E49" i="10"/>
  <c r="P48" i="10"/>
  <c r="I48" i="10"/>
  <c r="E48" i="10"/>
  <c r="P47" i="10"/>
  <c r="I47" i="10"/>
  <c r="E47" i="10"/>
  <c r="P46" i="10"/>
  <c r="I46" i="10"/>
  <c r="E46" i="10"/>
  <c r="P45" i="10"/>
  <c r="I45" i="10"/>
  <c r="E45" i="10"/>
  <c r="R42" i="10"/>
  <c r="Q42" i="10"/>
  <c r="P42" i="10"/>
  <c r="M42" i="10"/>
  <c r="I42" i="10"/>
  <c r="E42" i="10"/>
  <c r="V42" i="10" s="1"/>
  <c r="R41" i="10"/>
  <c r="Q41" i="10"/>
  <c r="P41" i="10"/>
  <c r="I41" i="10"/>
  <c r="E41" i="10"/>
  <c r="V41" i="10" s="1"/>
  <c r="R40" i="10"/>
  <c r="Q40" i="10"/>
  <c r="P40" i="10"/>
  <c r="M40" i="10"/>
  <c r="I40" i="10"/>
  <c r="E40" i="10"/>
  <c r="V40" i="10" s="1"/>
  <c r="R39" i="10"/>
  <c r="Q39" i="10"/>
  <c r="P39" i="10"/>
  <c r="M39" i="10"/>
  <c r="I39" i="10"/>
  <c r="E39" i="10"/>
  <c r="V39" i="10" s="1"/>
  <c r="R38" i="10"/>
  <c r="Q38" i="10"/>
  <c r="P38" i="10"/>
  <c r="I38" i="10"/>
  <c r="E38" i="10"/>
  <c r="V38" i="10" s="1"/>
  <c r="R37" i="10"/>
  <c r="Q37" i="10"/>
  <c r="P37" i="10"/>
  <c r="M37" i="10"/>
  <c r="I37" i="10"/>
  <c r="E37" i="10"/>
  <c r="V37" i="10" s="1"/>
  <c r="R36" i="10"/>
  <c r="Q36" i="10"/>
  <c r="P36" i="10"/>
  <c r="M36" i="10"/>
  <c r="I36" i="10"/>
  <c r="E36" i="10"/>
  <c r="V36" i="10" s="1"/>
  <c r="R35" i="10"/>
  <c r="Q35" i="10"/>
  <c r="P35" i="10"/>
  <c r="M35" i="10"/>
  <c r="I35" i="10"/>
  <c r="E35" i="10"/>
  <c r="V35" i="10" s="1"/>
  <c r="Q32" i="10"/>
  <c r="P32" i="10"/>
  <c r="I32" i="10"/>
  <c r="E32" i="10"/>
  <c r="Q31" i="10"/>
  <c r="P31" i="10"/>
  <c r="I31" i="10"/>
  <c r="E31" i="10"/>
  <c r="Q30" i="10"/>
  <c r="P30" i="10"/>
  <c r="I30" i="10"/>
  <c r="E30" i="10"/>
  <c r="P29" i="10"/>
  <c r="M29" i="10"/>
  <c r="I29" i="10"/>
  <c r="E29" i="10"/>
  <c r="P28" i="10"/>
  <c r="I28" i="10"/>
  <c r="E28" i="10"/>
  <c r="P27" i="10"/>
  <c r="I27" i="10"/>
  <c r="E27" i="10"/>
  <c r="P26" i="10"/>
  <c r="M26" i="10"/>
  <c r="I26" i="10"/>
  <c r="E26" i="10"/>
  <c r="P25" i="10"/>
  <c r="M25" i="10"/>
  <c r="I25" i="10"/>
  <c r="E25" i="10"/>
  <c r="Q12" i="10"/>
  <c r="P12" i="10"/>
  <c r="M12" i="10"/>
  <c r="I12" i="10"/>
  <c r="E12" i="10"/>
  <c r="P11" i="10"/>
  <c r="M11" i="10"/>
  <c r="I11" i="10"/>
  <c r="E11" i="10"/>
  <c r="P10" i="10"/>
  <c r="M10" i="10"/>
  <c r="I10" i="10"/>
  <c r="E10" i="10"/>
  <c r="P9" i="10"/>
  <c r="M9" i="10"/>
  <c r="I9" i="10"/>
  <c r="E9" i="10"/>
  <c r="P8" i="10"/>
  <c r="M8" i="10"/>
  <c r="I8" i="10"/>
  <c r="E8" i="10"/>
  <c r="P7" i="10"/>
  <c r="M7" i="10"/>
  <c r="I7" i="10"/>
  <c r="E7" i="10"/>
  <c r="P6" i="10"/>
  <c r="M6" i="10"/>
  <c r="I6" i="10"/>
  <c r="E6" i="10"/>
  <c r="P5" i="10"/>
  <c r="M5" i="10"/>
  <c r="I5" i="10"/>
  <c r="E5" i="10"/>
  <c r="W52" i="6"/>
  <c r="W31" i="6"/>
  <c r="Q29" i="6"/>
  <c r="Q31" i="6"/>
  <c r="Q32" i="6"/>
  <c r="W12" i="6"/>
  <c r="V15" i="6" s="1"/>
  <c r="R29" i="10" l="1"/>
  <c r="S39" i="10" s="1"/>
  <c r="T39" i="10" s="1"/>
  <c r="R9" i="10"/>
  <c r="S19" i="10" s="1"/>
  <c r="T19" i="10" s="1"/>
  <c r="R11" i="10"/>
  <c r="S21" i="10" s="1"/>
  <c r="T21" i="10" s="1"/>
  <c r="R32" i="10"/>
  <c r="S42" i="10" s="1"/>
  <c r="T42" i="10" s="1"/>
  <c r="W42" i="10" s="1"/>
  <c r="R52" i="10"/>
  <c r="S62" i="10" s="1"/>
  <c r="T62" i="10" s="1"/>
  <c r="W62" i="10" s="1"/>
  <c r="R47" i="10"/>
  <c r="S57" i="10" s="1"/>
  <c r="T57" i="10" s="1"/>
  <c r="R30" i="10"/>
  <c r="S40" i="10" s="1"/>
  <c r="T40" i="10" s="1"/>
  <c r="R12" i="10"/>
  <c r="S22" i="10" s="1"/>
  <c r="T22" i="10" s="1"/>
  <c r="R31" i="10"/>
  <c r="S41" i="10" s="1"/>
  <c r="T41" i="10" s="1"/>
  <c r="W41" i="10" s="1"/>
  <c r="R10" i="10"/>
  <c r="S20" i="10" s="1"/>
  <c r="T20" i="10" s="1"/>
  <c r="R50" i="10"/>
  <c r="S60" i="10" s="1"/>
  <c r="T60" i="10" s="1"/>
  <c r="W60" i="10" s="1"/>
  <c r="R8" i="10"/>
  <c r="S18" i="10" s="1"/>
  <c r="T18" i="10" s="1"/>
  <c r="R28" i="10"/>
  <c r="S38" i="10" s="1"/>
  <c r="T38" i="10" s="1"/>
  <c r="R27" i="10"/>
  <c r="S37" i="10" s="1"/>
  <c r="T37" i="10" s="1"/>
  <c r="R7" i="10"/>
  <c r="S17" i="10" s="1"/>
  <c r="T17" i="10" s="1"/>
  <c r="R6" i="10"/>
  <c r="S16" i="10" s="1"/>
  <c r="T16" i="10" s="1"/>
  <c r="R25" i="10"/>
  <c r="S35" i="10" s="1"/>
  <c r="T35" i="10" s="1"/>
  <c r="R5" i="10"/>
  <c r="S15" i="10" s="1"/>
  <c r="T15" i="10" s="1"/>
  <c r="R45" i="10"/>
  <c r="S55" i="10" s="1"/>
  <c r="T55" i="10" s="1"/>
  <c r="R46" i="10"/>
  <c r="S56" i="10" s="1"/>
  <c r="T56" i="10" s="1"/>
  <c r="W56" i="10" s="1"/>
  <c r="R49" i="10"/>
  <c r="S59" i="10" s="1"/>
  <c r="T59" i="10" s="1"/>
  <c r="R51" i="10"/>
  <c r="S61" i="10" s="1"/>
  <c r="T61" i="10" s="1"/>
  <c r="R26" i="10"/>
  <c r="S36" i="10" s="1"/>
  <c r="T36" i="10" s="1"/>
  <c r="W36" i="10" s="1"/>
  <c r="R48" i="10"/>
  <c r="S58" i="10" s="1"/>
  <c r="T58" i="10" s="1"/>
  <c r="W58" i="10" s="1"/>
  <c r="W17" i="10"/>
  <c r="R15" i="6"/>
  <c r="R16" i="6"/>
  <c r="R17" i="6"/>
  <c r="R18" i="6"/>
  <c r="R19" i="6"/>
  <c r="R20" i="6"/>
  <c r="R21" i="6"/>
  <c r="R22" i="6"/>
  <c r="R32" i="6"/>
  <c r="S42" i="6" s="1"/>
  <c r="T42" i="6" s="1"/>
  <c r="R35" i="6"/>
  <c r="R36" i="6"/>
  <c r="R37" i="6"/>
  <c r="R38" i="6"/>
  <c r="R39" i="6"/>
  <c r="R40" i="6"/>
  <c r="R41" i="6"/>
  <c r="R42" i="6"/>
  <c r="R47" i="6"/>
  <c r="S57" i="6" s="1"/>
  <c r="R52" i="6"/>
  <c r="S62" i="6" s="1"/>
  <c r="T62" i="6" s="1"/>
  <c r="R55" i="6"/>
  <c r="R56" i="6"/>
  <c r="R57" i="6"/>
  <c r="R58" i="6"/>
  <c r="R59" i="6"/>
  <c r="R60" i="6"/>
  <c r="R61" i="6"/>
  <c r="R62" i="6"/>
  <c r="R15" i="7"/>
  <c r="R16" i="7"/>
  <c r="R17" i="7"/>
  <c r="R18" i="7"/>
  <c r="R19" i="7"/>
  <c r="R20" i="7"/>
  <c r="R21" i="7"/>
  <c r="R22" i="7"/>
  <c r="R35" i="7"/>
  <c r="R36" i="7"/>
  <c r="R37" i="7"/>
  <c r="R38" i="7"/>
  <c r="R39" i="7"/>
  <c r="R40" i="7"/>
  <c r="R41" i="7"/>
  <c r="R42" i="7"/>
  <c r="R55" i="7"/>
  <c r="R56" i="7"/>
  <c r="R57" i="7"/>
  <c r="R58" i="7"/>
  <c r="R59" i="7"/>
  <c r="R60" i="7"/>
  <c r="R61" i="7"/>
  <c r="R62" i="7"/>
  <c r="Q5" i="5"/>
  <c r="E43" i="5"/>
  <c r="AB32" i="5" s="1"/>
  <c r="E44" i="5"/>
  <c r="AB33" i="5" s="1"/>
  <c r="M43" i="5"/>
  <c r="M44" i="5"/>
  <c r="P43" i="5"/>
  <c r="R43" i="5" s="1"/>
  <c r="P44" i="5"/>
  <c r="Q44" i="5"/>
  <c r="P32" i="5"/>
  <c r="R32" i="5" s="1"/>
  <c r="S43" i="5" s="1"/>
  <c r="P33" i="5"/>
  <c r="Q33" i="5"/>
  <c r="M32" i="5"/>
  <c r="M33" i="5"/>
  <c r="I32" i="5"/>
  <c r="E32" i="5"/>
  <c r="AB12" i="5" s="1"/>
  <c r="F58" i="5"/>
  <c r="F59" i="5"/>
  <c r="F60" i="5"/>
  <c r="F61" i="5"/>
  <c r="F62" i="5"/>
  <c r="F63" i="5"/>
  <c r="F64" i="5"/>
  <c r="F56" i="7"/>
  <c r="I56" i="7" s="1"/>
  <c r="F57" i="7"/>
  <c r="I57" i="7" s="1"/>
  <c r="F58" i="7"/>
  <c r="F59" i="7"/>
  <c r="I59" i="7" s="1"/>
  <c r="F60" i="7"/>
  <c r="F61" i="7"/>
  <c r="I61" i="7" s="1"/>
  <c r="F62" i="7"/>
  <c r="I62" i="7" s="1"/>
  <c r="F56" i="6"/>
  <c r="I56" i="6" s="1"/>
  <c r="F57" i="6"/>
  <c r="I57" i="6" s="1"/>
  <c r="F58" i="6"/>
  <c r="F59" i="6"/>
  <c r="I59" i="6" s="1"/>
  <c r="F60" i="6"/>
  <c r="I60" i="6" s="1"/>
  <c r="F61" i="6"/>
  <c r="I61" i="6" s="1"/>
  <c r="F62" i="6"/>
  <c r="I62" i="6" s="1"/>
  <c r="F57" i="5"/>
  <c r="F55" i="7"/>
  <c r="I55" i="7" s="1"/>
  <c r="F55" i="6"/>
  <c r="F48" i="5"/>
  <c r="F49" i="5"/>
  <c r="F50" i="5"/>
  <c r="F51" i="5"/>
  <c r="F52" i="5"/>
  <c r="F53" i="5"/>
  <c r="F54" i="5"/>
  <c r="F46" i="7"/>
  <c r="I46" i="7" s="1"/>
  <c r="R46" i="7" s="1"/>
  <c r="S56" i="7" s="1"/>
  <c r="T56" i="7" s="1"/>
  <c r="F47" i="7"/>
  <c r="I47" i="7" s="1"/>
  <c r="F48" i="7"/>
  <c r="I48" i="7" s="1"/>
  <c r="F49" i="7"/>
  <c r="F50" i="7"/>
  <c r="I50" i="7" s="1"/>
  <c r="F51" i="7"/>
  <c r="I51" i="7" s="1"/>
  <c r="F52" i="7"/>
  <c r="F46" i="6"/>
  <c r="I46" i="6" s="1"/>
  <c r="F47" i="6"/>
  <c r="I47" i="6" s="1"/>
  <c r="F48" i="6"/>
  <c r="I48" i="6" s="1"/>
  <c r="F49" i="6"/>
  <c r="I49" i="6" s="1"/>
  <c r="F50" i="6"/>
  <c r="I50" i="6" s="1"/>
  <c r="F51" i="6"/>
  <c r="I51" i="6" s="1"/>
  <c r="F52" i="6"/>
  <c r="I52" i="6" s="1"/>
  <c r="F47" i="5"/>
  <c r="F45" i="7"/>
  <c r="F45" i="6"/>
  <c r="I45" i="6" s="1"/>
  <c r="F37" i="5"/>
  <c r="F38" i="5"/>
  <c r="F39" i="5"/>
  <c r="F40" i="5"/>
  <c r="F41" i="5"/>
  <c r="F42" i="5"/>
  <c r="F36" i="7"/>
  <c r="F37" i="7"/>
  <c r="I37" i="7" s="1"/>
  <c r="F38" i="7"/>
  <c r="I38" i="7" s="1"/>
  <c r="F39" i="7"/>
  <c r="I39" i="7" s="1"/>
  <c r="F40" i="7"/>
  <c r="I40" i="7" s="1"/>
  <c r="F41" i="7"/>
  <c r="I41" i="7" s="1"/>
  <c r="F42" i="7"/>
  <c r="I42" i="7" s="1"/>
  <c r="F36" i="6"/>
  <c r="F37" i="6"/>
  <c r="F38" i="6"/>
  <c r="I38" i="6" s="1"/>
  <c r="F39" i="6"/>
  <c r="I39" i="6" s="1"/>
  <c r="F40" i="6"/>
  <c r="I40" i="6" s="1"/>
  <c r="F41" i="6"/>
  <c r="I41" i="6" s="1"/>
  <c r="F42" i="6"/>
  <c r="I42" i="6" s="1"/>
  <c r="F36" i="5"/>
  <c r="F35" i="7"/>
  <c r="F35" i="6"/>
  <c r="F26" i="5"/>
  <c r="F27" i="5"/>
  <c r="F28" i="5"/>
  <c r="F29" i="5"/>
  <c r="F30" i="5"/>
  <c r="F31" i="5"/>
  <c r="F26" i="7"/>
  <c r="F27" i="7"/>
  <c r="I27" i="7" s="1"/>
  <c r="F28" i="7"/>
  <c r="I28" i="7" s="1"/>
  <c r="F29" i="7"/>
  <c r="I29" i="7" s="1"/>
  <c r="F30" i="7"/>
  <c r="I30" i="7" s="1"/>
  <c r="F31" i="7"/>
  <c r="F32" i="7"/>
  <c r="I32" i="7" s="1"/>
  <c r="F26" i="6"/>
  <c r="I26" i="6" s="1"/>
  <c r="F27" i="6"/>
  <c r="F28" i="6"/>
  <c r="I28" i="6" s="1"/>
  <c r="R28" i="6" s="1"/>
  <c r="S38" i="6" s="1"/>
  <c r="T38" i="6" s="1"/>
  <c r="F29" i="6"/>
  <c r="I29" i="6" s="1"/>
  <c r="F30" i="6"/>
  <c r="I30" i="6" s="1"/>
  <c r="F31" i="6"/>
  <c r="I31" i="6" s="1"/>
  <c r="F32" i="6"/>
  <c r="I32" i="6" s="1"/>
  <c r="F25" i="5"/>
  <c r="F25" i="7"/>
  <c r="I25" i="7" s="1"/>
  <c r="R25" i="7" s="1"/>
  <c r="S35" i="7" s="1"/>
  <c r="T35" i="7" s="1"/>
  <c r="F25" i="6"/>
  <c r="K58" i="5"/>
  <c r="K59" i="5"/>
  <c r="K60" i="5"/>
  <c r="K61" i="5"/>
  <c r="K62" i="5"/>
  <c r="K63" i="5"/>
  <c r="K64" i="5"/>
  <c r="K56" i="7"/>
  <c r="M56" i="7" s="1"/>
  <c r="K57" i="7"/>
  <c r="M57" i="7" s="1"/>
  <c r="K58" i="7"/>
  <c r="M58" i="7" s="1"/>
  <c r="K59" i="7"/>
  <c r="M59" i="7" s="1"/>
  <c r="K60" i="7"/>
  <c r="M60" i="7" s="1"/>
  <c r="K61" i="7"/>
  <c r="K62" i="7"/>
  <c r="M62" i="7" s="1"/>
  <c r="K56" i="6"/>
  <c r="M56" i="6" s="1"/>
  <c r="K57" i="6"/>
  <c r="K58" i="6"/>
  <c r="M58" i="6" s="1"/>
  <c r="K59" i="6"/>
  <c r="M59" i="6" s="1"/>
  <c r="K60" i="6"/>
  <c r="M60" i="6" s="1"/>
  <c r="K61" i="6"/>
  <c r="M61" i="6" s="1"/>
  <c r="K62" i="6"/>
  <c r="M62" i="6" s="1"/>
  <c r="K57" i="5"/>
  <c r="K55" i="7"/>
  <c r="M55" i="7" s="1"/>
  <c r="K55" i="6"/>
  <c r="K48" i="5"/>
  <c r="K49" i="5"/>
  <c r="K50" i="5"/>
  <c r="K51" i="5"/>
  <c r="K52" i="5"/>
  <c r="K46" i="7"/>
  <c r="M46" i="7" s="1"/>
  <c r="K47" i="7"/>
  <c r="M47" i="7" s="1"/>
  <c r="K48" i="7"/>
  <c r="M48" i="7" s="1"/>
  <c r="K49" i="7"/>
  <c r="M49" i="7" s="1"/>
  <c r="K50" i="7"/>
  <c r="M50" i="7" s="1"/>
  <c r="K51" i="7"/>
  <c r="K52" i="7"/>
  <c r="K46" i="6"/>
  <c r="K47" i="6"/>
  <c r="K48" i="6"/>
  <c r="M48" i="6" s="1"/>
  <c r="K49" i="6"/>
  <c r="M49" i="6" s="1"/>
  <c r="K50" i="6"/>
  <c r="M50" i="6" s="1"/>
  <c r="K51" i="6"/>
  <c r="M51" i="6" s="1"/>
  <c r="K52" i="6"/>
  <c r="M52" i="6" s="1"/>
  <c r="K47" i="5"/>
  <c r="K45" i="7"/>
  <c r="M45" i="7" s="1"/>
  <c r="K45" i="6"/>
  <c r="K37" i="5"/>
  <c r="K38" i="5"/>
  <c r="K39" i="5"/>
  <c r="K40" i="5"/>
  <c r="K41" i="5"/>
  <c r="K42" i="5"/>
  <c r="K36" i="7"/>
  <c r="M36" i="7" s="1"/>
  <c r="K37" i="7"/>
  <c r="M37" i="7" s="1"/>
  <c r="K38" i="7"/>
  <c r="M38" i="7" s="1"/>
  <c r="K39" i="7"/>
  <c r="M39" i="7" s="1"/>
  <c r="K40" i="7"/>
  <c r="M40" i="7" s="1"/>
  <c r="K41" i="7"/>
  <c r="M41" i="7" s="1"/>
  <c r="K42" i="7"/>
  <c r="K36" i="6"/>
  <c r="K37" i="6"/>
  <c r="M37" i="6" s="1"/>
  <c r="K38" i="6"/>
  <c r="K39" i="6"/>
  <c r="K40" i="6"/>
  <c r="M40" i="6" s="1"/>
  <c r="K41" i="6"/>
  <c r="K42" i="6"/>
  <c r="M42" i="6" s="1"/>
  <c r="K36" i="5"/>
  <c r="K35" i="7"/>
  <c r="M35" i="7" s="1"/>
  <c r="K35" i="6"/>
  <c r="M35" i="6" s="1"/>
  <c r="K26" i="5"/>
  <c r="K27" i="5"/>
  <c r="K28" i="5"/>
  <c r="K29" i="5"/>
  <c r="K30" i="5"/>
  <c r="K31" i="5"/>
  <c r="K26" i="7"/>
  <c r="K27" i="7"/>
  <c r="M27" i="7" s="1"/>
  <c r="K28" i="7"/>
  <c r="M28" i="7" s="1"/>
  <c r="K29" i="7"/>
  <c r="M29" i="7" s="1"/>
  <c r="K30" i="7"/>
  <c r="M30" i="7" s="1"/>
  <c r="K31" i="7"/>
  <c r="M31" i="7" s="1"/>
  <c r="K32" i="7"/>
  <c r="K26" i="6"/>
  <c r="K27" i="6"/>
  <c r="M27" i="6" s="1"/>
  <c r="K28" i="6"/>
  <c r="K29" i="6"/>
  <c r="M29" i="6" s="1"/>
  <c r="K30" i="6"/>
  <c r="K31" i="6"/>
  <c r="M31" i="6" s="1"/>
  <c r="K32" i="6"/>
  <c r="M32" i="6" s="1"/>
  <c r="K25" i="5"/>
  <c r="K25" i="7"/>
  <c r="M25" i="7" s="1"/>
  <c r="K25" i="6"/>
  <c r="M25" i="6"/>
  <c r="K16" i="5"/>
  <c r="K17" i="5"/>
  <c r="K18" i="5"/>
  <c r="K19" i="5"/>
  <c r="K20" i="5"/>
  <c r="K21" i="5"/>
  <c r="K22" i="5"/>
  <c r="K16" i="7"/>
  <c r="K17" i="7"/>
  <c r="M17" i="7" s="1"/>
  <c r="K18" i="7"/>
  <c r="M18" i="7" s="1"/>
  <c r="K19" i="7"/>
  <c r="M19" i="7" s="1"/>
  <c r="K20" i="7"/>
  <c r="M20" i="7" s="1"/>
  <c r="K21" i="7"/>
  <c r="K22" i="7"/>
  <c r="K16" i="6"/>
  <c r="K17" i="6"/>
  <c r="K18" i="6"/>
  <c r="M18" i="6" s="1"/>
  <c r="K19" i="6"/>
  <c r="K20" i="6"/>
  <c r="M20" i="6" s="1"/>
  <c r="K21" i="6"/>
  <c r="K22" i="6"/>
  <c r="M22" i="6" s="1"/>
  <c r="K15" i="5"/>
  <c r="K15" i="7"/>
  <c r="M15" i="7" s="1"/>
  <c r="K15" i="6"/>
  <c r="M15" i="6" s="1"/>
  <c r="Q62" i="7"/>
  <c r="P62" i="7"/>
  <c r="E62" i="7"/>
  <c r="Q61" i="7"/>
  <c r="P61" i="7"/>
  <c r="M61" i="7"/>
  <c r="E61" i="7"/>
  <c r="Q60" i="7"/>
  <c r="P60" i="7"/>
  <c r="I60" i="7"/>
  <c r="E60" i="7"/>
  <c r="Q59" i="7"/>
  <c r="P59" i="7"/>
  <c r="E59" i="7"/>
  <c r="Q58" i="7"/>
  <c r="P58" i="7"/>
  <c r="I58" i="7"/>
  <c r="E58" i="7"/>
  <c r="Q57" i="7"/>
  <c r="P57" i="7"/>
  <c r="E57" i="7"/>
  <c r="Q56" i="7"/>
  <c r="P56" i="7"/>
  <c r="E56" i="7"/>
  <c r="Q55" i="7"/>
  <c r="P55" i="7"/>
  <c r="E55" i="7"/>
  <c r="Q52" i="7"/>
  <c r="P52" i="7"/>
  <c r="M52" i="7"/>
  <c r="I52" i="7"/>
  <c r="E52" i="7"/>
  <c r="W52" i="7" s="1"/>
  <c r="P51" i="7"/>
  <c r="M51" i="7"/>
  <c r="E51" i="7"/>
  <c r="W51" i="7" s="1"/>
  <c r="P50" i="7"/>
  <c r="E50" i="7"/>
  <c r="W50" i="7" s="1"/>
  <c r="P49" i="7"/>
  <c r="R49" i="7" s="1"/>
  <c r="S59" i="7" s="1"/>
  <c r="T59" i="7" s="1"/>
  <c r="I49" i="7"/>
  <c r="E49" i="7"/>
  <c r="W49" i="7" s="1"/>
  <c r="P48" i="7"/>
  <c r="R48" i="7" s="1"/>
  <c r="S58" i="7" s="1"/>
  <c r="T58" i="7" s="1"/>
  <c r="E48" i="7"/>
  <c r="W48" i="7" s="1"/>
  <c r="X48" i="7" s="1"/>
  <c r="P47" i="7"/>
  <c r="R47" i="7" s="1"/>
  <c r="S57" i="7" s="1"/>
  <c r="T57" i="7" s="1"/>
  <c r="E47" i="7"/>
  <c r="W47" i="7" s="1"/>
  <c r="P46" i="7"/>
  <c r="E46" i="7"/>
  <c r="W46" i="7" s="1"/>
  <c r="P45" i="7"/>
  <c r="I45" i="7"/>
  <c r="E45" i="7"/>
  <c r="W45" i="7" s="1"/>
  <c r="Q42" i="7"/>
  <c r="P42" i="7"/>
  <c r="M42" i="7"/>
  <c r="E42" i="7"/>
  <c r="Q41" i="7"/>
  <c r="P41" i="7"/>
  <c r="E41" i="7"/>
  <c r="Q40" i="7"/>
  <c r="P40" i="7"/>
  <c r="E40" i="7"/>
  <c r="Q39" i="7"/>
  <c r="P39" i="7"/>
  <c r="E39" i="7"/>
  <c r="Q38" i="7"/>
  <c r="P38" i="7"/>
  <c r="E38" i="7"/>
  <c r="Q37" i="7"/>
  <c r="P37" i="7"/>
  <c r="E37" i="7"/>
  <c r="Q36" i="7"/>
  <c r="P36" i="7"/>
  <c r="I36" i="7"/>
  <c r="E36" i="7"/>
  <c r="Q35" i="7"/>
  <c r="P35" i="7"/>
  <c r="I35" i="7"/>
  <c r="E35" i="7"/>
  <c r="Q32" i="7"/>
  <c r="P32" i="7"/>
  <c r="M32" i="7"/>
  <c r="E32" i="7"/>
  <c r="W32" i="7" s="1"/>
  <c r="P31" i="7"/>
  <c r="I31" i="7"/>
  <c r="E31" i="7"/>
  <c r="W31" i="7" s="1"/>
  <c r="P30" i="7"/>
  <c r="R30" i="7" s="1"/>
  <c r="S40" i="7" s="1"/>
  <c r="T40" i="7" s="1"/>
  <c r="E30" i="7"/>
  <c r="W30" i="7" s="1"/>
  <c r="P29" i="7"/>
  <c r="E29" i="7"/>
  <c r="W29" i="7" s="1"/>
  <c r="P28" i="7"/>
  <c r="E28" i="7"/>
  <c r="W28" i="7" s="1"/>
  <c r="P27" i="7"/>
  <c r="E27" i="7"/>
  <c r="W27" i="7" s="1"/>
  <c r="P26" i="7"/>
  <c r="R26" i="7" s="1"/>
  <c r="S36" i="7" s="1"/>
  <c r="T36" i="7" s="1"/>
  <c r="M26" i="7"/>
  <c r="I26" i="7"/>
  <c r="E26" i="7"/>
  <c r="W26" i="7" s="1"/>
  <c r="P25" i="7"/>
  <c r="E25" i="7"/>
  <c r="W25" i="7" s="1"/>
  <c r="Q22" i="7"/>
  <c r="P22" i="7"/>
  <c r="M22" i="7"/>
  <c r="I22" i="7"/>
  <c r="E22" i="7"/>
  <c r="Q21" i="7"/>
  <c r="P21" i="7"/>
  <c r="M21" i="7"/>
  <c r="I21" i="7"/>
  <c r="E21" i="7"/>
  <c r="Q20" i="7"/>
  <c r="P20" i="7"/>
  <c r="I20" i="7"/>
  <c r="E20" i="7"/>
  <c r="Q19" i="7"/>
  <c r="P19" i="7"/>
  <c r="I19" i="7"/>
  <c r="E19" i="7"/>
  <c r="Q18" i="7"/>
  <c r="P18" i="7"/>
  <c r="I18" i="7"/>
  <c r="E18" i="7"/>
  <c r="Q17" i="7"/>
  <c r="P17" i="7"/>
  <c r="I17" i="7"/>
  <c r="E17" i="7"/>
  <c r="Q16" i="7"/>
  <c r="P16" i="7"/>
  <c r="M16" i="7"/>
  <c r="I16" i="7"/>
  <c r="E16" i="7"/>
  <c r="Q15" i="7"/>
  <c r="P15" i="7"/>
  <c r="I15" i="7"/>
  <c r="E15" i="7"/>
  <c r="Q12" i="7"/>
  <c r="P12" i="7"/>
  <c r="M12" i="7"/>
  <c r="I12" i="7"/>
  <c r="E12" i="7"/>
  <c r="Q11" i="7"/>
  <c r="P11" i="7"/>
  <c r="R11" i="7" s="1"/>
  <c r="S21" i="7" s="1"/>
  <c r="M11" i="7"/>
  <c r="I11" i="7"/>
  <c r="E11" i="7"/>
  <c r="P10" i="7"/>
  <c r="S20" i="7" s="1"/>
  <c r="M10" i="7"/>
  <c r="I10" i="7"/>
  <c r="E10" i="7"/>
  <c r="P9" i="7"/>
  <c r="M9" i="7"/>
  <c r="I9" i="7"/>
  <c r="E9" i="7"/>
  <c r="P8" i="7"/>
  <c r="R8" i="7" s="1"/>
  <c r="S18" i="7" s="1"/>
  <c r="T18" i="7" s="1"/>
  <c r="M8" i="7"/>
  <c r="I8" i="7"/>
  <c r="E8" i="7"/>
  <c r="P7" i="7"/>
  <c r="R7" i="7" s="1"/>
  <c r="S17" i="7" s="1"/>
  <c r="M7" i="7"/>
  <c r="I7" i="7"/>
  <c r="E7" i="7"/>
  <c r="P6" i="7"/>
  <c r="M6" i="7"/>
  <c r="I6" i="7"/>
  <c r="E6" i="7"/>
  <c r="P5" i="7"/>
  <c r="R5" i="7" s="1"/>
  <c r="S15" i="7" s="1"/>
  <c r="T15" i="7" s="1"/>
  <c r="M5" i="7"/>
  <c r="I5" i="7"/>
  <c r="E5" i="7"/>
  <c r="Q62" i="6"/>
  <c r="P62" i="6"/>
  <c r="E62" i="6"/>
  <c r="V62" i="6" s="1"/>
  <c r="Q61" i="6"/>
  <c r="P61" i="6"/>
  <c r="E61" i="6"/>
  <c r="V61" i="6" s="1"/>
  <c r="Q60" i="6"/>
  <c r="P60" i="6"/>
  <c r="E60" i="6"/>
  <c r="V60" i="6" s="1"/>
  <c r="Q59" i="6"/>
  <c r="P59" i="6"/>
  <c r="E59" i="6"/>
  <c r="V59" i="6" s="1"/>
  <c r="Q58" i="6"/>
  <c r="P58" i="6"/>
  <c r="I58" i="6"/>
  <c r="E58" i="6"/>
  <c r="V58" i="6" s="1"/>
  <c r="Q57" i="6"/>
  <c r="P57" i="6"/>
  <c r="M57" i="6"/>
  <c r="E57" i="6"/>
  <c r="V57" i="6" s="1"/>
  <c r="Q56" i="6"/>
  <c r="P56" i="6"/>
  <c r="E56" i="6"/>
  <c r="V56" i="6" s="1"/>
  <c r="Q55" i="6"/>
  <c r="P55" i="6"/>
  <c r="M55" i="6"/>
  <c r="I55" i="6"/>
  <c r="E55" i="6"/>
  <c r="V55" i="6" s="1"/>
  <c r="Q52" i="6"/>
  <c r="P52" i="6"/>
  <c r="E52" i="6"/>
  <c r="Q51" i="6"/>
  <c r="P51" i="6"/>
  <c r="E51" i="6"/>
  <c r="Q50" i="6"/>
  <c r="P50" i="6"/>
  <c r="R50" i="6" s="1"/>
  <c r="S60" i="6" s="1"/>
  <c r="T60" i="6" s="1"/>
  <c r="E50" i="6"/>
  <c r="Q49" i="6"/>
  <c r="P49" i="6"/>
  <c r="E49" i="6"/>
  <c r="P48" i="6"/>
  <c r="E48" i="6"/>
  <c r="P47" i="6"/>
  <c r="M47" i="6"/>
  <c r="E47" i="6"/>
  <c r="P46" i="6"/>
  <c r="R46" i="6" s="1"/>
  <c r="S56" i="6" s="1"/>
  <c r="T56" i="6" s="1"/>
  <c r="M46" i="6"/>
  <c r="E46" i="6"/>
  <c r="P45" i="6"/>
  <c r="M45" i="6"/>
  <c r="E45" i="6"/>
  <c r="Q42" i="6"/>
  <c r="P42" i="6"/>
  <c r="E42" i="6"/>
  <c r="V42" i="6" s="1"/>
  <c r="Q41" i="6"/>
  <c r="P41" i="6"/>
  <c r="M41" i="6"/>
  <c r="E41" i="6"/>
  <c r="V41" i="6" s="1"/>
  <c r="Q40" i="6"/>
  <c r="P40" i="6"/>
  <c r="E40" i="6"/>
  <c r="V40" i="6" s="1"/>
  <c r="Q39" i="6"/>
  <c r="P39" i="6"/>
  <c r="M39" i="6"/>
  <c r="E39" i="6"/>
  <c r="V39" i="6" s="1"/>
  <c r="Q38" i="6"/>
  <c r="P38" i="6"/>
  <c r="M38" i="6"/>
  <c r="E38" i="6"/>
  <c r="V38" i="6" s="1"/>
  <c r="Q37" i="6"/>
  <c r="P37" i="6"/>
  <c r="I37" i="6"/>
  <c r="E37" i="6"/>
  <c r="V37" i="6" s="1"/>
  <c r="Q36" i="6"/>
  <c r="P36" i="6"/>
  <c r="M36" i="6"/>
  <c r="I36" i="6"/>
  <c r="E36" i="6"/>
  <c r="V36" i="6" s="1"/>
  <c r="Q35" i="6"/>
  <c r="P35" i="6"/>
  <c r="I35" i="6"/>
  <c r="E35" i="6"/>
  <c r="V35" i="6" s="1"/>
  <c r="W35" i="6" s="1"/>
  <c r="P32" i="6"/>
  <c r="E32" i="6"/>
  <c r="P31" i="6"/>
  <c r="E31" i="6"/>
  <c r="Q30" i="6"/>
  <c r="P30" i="6"/>
  <c r="R30" i="6" s="1"/>
  <c r="S40" i="6" s="1"/>
  <c r="T40" i="6" s="1"/>
  <c r="M30" i="6"/>
  <c r="E30" i="6"/>
  <c r="P29" i="6"/>
  <c r="E29" i="6"/>
  <c r="P28" i="6"/>
  <c r="M28" i="6"/>
  <c r="E28" i="6"/>
  <c r="P27" i="6"/>
  <c r="R27" i="6" s="1"/>
  <c r="S37" i="6" s="1"/>
  <c r="T37" i="6" s="1"/>
  <c r="I27" i="6"/>
  <c r="E27" i="6"/>
  <c r="P26" i="6"/>
  <c r="R26" i="6" s="1"/>
  <c r="S36" i="6" s="1"/>
  <c r="T36" i="6" s="1"/>
  <c r="M26" i="6"/>
  <c r="E26" i="6"/>
  <c r="P25" i="6"/>
  <c r="R25" i="6" s="1"/>
  <c r="S35" i="6" s="1"/>
  <c r="T35" i="6" s="1"/>
  <c r="I25" i="6"/>
  <c r="E25" i="6"/>
  <c r="Q22" i="6"/>
  <c r="P22" i="6"/>
  <c r="I22" i="6"/>
  <c r="E22" i="6"/>
  <c r="V22" i="6" s="1"/>
  <c r="Q21" i="6"/>
  <c r="P21" i="6"/>
  <c r="M21" i="6"/>
  <c r="I21" i="6"/>
  <c r="E21" i="6"/>
  <c r="V21" i="6" s="1"/>
  <c r="Q20" i="6"/>
  <c r="P20" i="6"/>
  <c r="I20" i="6"/>
  <c r="E20" i="6"/>
  <c r="V20" i="6" s="1"/>
  <c r="Q19" i="6"/>
  <c r="P19" i="6"/>
  <c r="M19" i="6"/>
  <c r="I19" i="6"/>
  <c r="E19" i="6"/>
  <c r="V19" i="6" s="1"/>
  <c r="Q18" i="6"/>
  <c r="P18" i="6"/>
  <c r="I18" i="6"/>
  <c r="E18" i="6"/>
  <c r="V18" i="6" s="1"/>
  <c r="Q17" i="6"/>
  <c r="P17" i="6"/>
  <c r="M17" i="6"/>
  <c r="I17" i="6"/>
  <c r="E17" i="6"/>
  <c r="V17" i="6" s="1"/>
  <c r="Q16" i="6"/>
  <c r="P16" i="6"/>
  <c r="M16" i="6"/>
  <c r="I16" i="6"/>
  <c r="E16" i="6"/>
  <c r="V16" i="6" s="1"/>
  <c r="Q15" i="6"/>
  <c r="P15" i="6"/>
  <c r="I15" i="6"/>
  <c r="Q12" i="6"/>
  <c r="P12" i="6"/>
  <c r="M12" i="6"/>
  <c r="I12" i="6"/>
  <c r="E12" i="6"/>
  <c r="Q11" i="6"/>
  <c r="P11" i="6"/>
  <c r="M11" i="6"/>
  <c r="I11" i="6"/>
  <c r="E11" i="6"/>
  <c r="Q10" i="6"/>
  <c r="P10" i="6"/>
  <c r="R10" i="6" s="1"/>
  <c r="S20" i="6" s="1"/>
  <c r="T20" i="6" s="1"/>
  <c r="M10" i="6"/>
  <c r="I10" i="6"/>
  <c r="E10" i="6"/>
  <c r="P9" i="6"/>
  <c r="M9" i="6"/>
  <c r="I9" i="6"/>
  <c r="E9" i="6"/>
  <c r="P8" i="6"/>
  <c r="R8" i="6" s="1"/>
  <c r="S18" i="6" s="1"/>
  <c r="M8" i="6"/>
  <c r="I8" i="6"/>
  <c r="E8" i="6"/>
  <c r="P7" i="6"/>
  <c r="R7" i="6" s="1"/>
  <c r="S17" i="6" s="1"/>
  <c r="M7" i="6"/>
  <c r="I7" i="6"/>
  <c r="E7" i="6"/>
  <c r="P6" i="6"/>
  <c r="M6" i="6"/>
  <c r="I6" i="6"/>
  <c r="E6" i="6"/>
  <c r="P5" i="6"/>
  <c r="M5" i="6"/>
  <c r="I5" i="6"/>
  <c r="E5" i="6"/>
  <c r="P6" i="5"/>
  <c r="P7" i="5"/>
  <c r="P8" i="5"/>
  <c r="P9" i="5"/>
  <c r="P10" i="5"/>
  <c r="P11" i="5"/>
  <c r="P12" i="5"/>
  <c r="P15" i="5"/>
  <c r="P16" i="5"/>
  <c r="P17" i="5"/>
  <c r="P18" i="5"/>
  <c r="P19" i="5"/>
  <c r="P20" i="5"/>
  <c r="P21" i="5"/>
  <c r="P22" i="5"/>
  <c r="P25" i="5"/>
  <c r="P26" i="5"/>
  <c r="P27" i="5"/>
  <c r="P28" i="5"/>
  <c r="P29" i="5"/>
  <c r="P30" i="5"/>
  <c r="P31" i="5"/>
  <c r="P36" i="5"/>
  <c r="P37" i="5"/>
  <c r="P38" i="5"/>
  <c r="P39" i="5"/>
  <c r="P40" i="5"/>
  <c r="P41" i="5"/>
  <c r="P42" i="5"/>
  <c r="P47" i="5"/>
  <c r="P48" i="5"/>
  <c r="P49" i="5"/>
  <c r="P50" i="5"/>
  <c r="P51" i="5"/>
  <c r="P52" i="5"/>
  <c r="P53" i="5"/>
  <c r="P54" i="5"/>
  <c r="P57" i="5"/>
  <c r="P58" i="5"/>
  <c r="P59" i="5"/>
  <c r="P60" i="5"/>
  <c r="P61" i="5"/>
  <c r="P62" i="5"/>
  <c r="P63" i="5"/>
  <c r="P64" i="5"/>
  <c r="Q6" i="5"/>
  <c r="Q7" i="5"/>
  <c r="Q8" i="5"/>
  <c r="Q9" i="5"/>
  <c r="Q10" i="5"/>
  <c r="Q11" i="5"/>
  <c r="Q12" i="5"/>
  <c r="Q20" i="5"/>
  <c r="Q21" i="5"/>
  <c r="Q22" i="5"/>
  <c r="Q54" i="5"/>
  <c r="Q64" i="5"/>
  <c r="R57" i="5" l="1"/>
  <c r="R7" i="5"/>
  <c r="R20" i="5"/>
  <c r="R6" i="5"/>
  <c r="R19" i="5"/>
  <c r="R16" i="5"/>
  <c r="R30" i="5"/>
  <c r="S41" i="5" s="1"/>
  <c r="X31" i="7"/>
  <c r="R5" i="5"/>
  <c r="R49" i="5"/>
  <c r="S59" i="5" s="1"/>
  <c r="T59" i="5" s="1"/>
  <c r="R31" i="7"/>
  <c r="S41" i="7" s="1"/>
  <c r="T41" i="7" s="1"/>
  <c r="T57" i="6"/>
  <c r="R9" i="6"/>
  <c r="S19" i="6" s="1"/>
  <c r="T19" i="6" s="1"/>
  <c r="R31" i="6"/>
  <c r="S41" i="6" s="1"/>
  <c r="T41" i="6" s="1"/>
  <c r="R6" i="7"/>
  <c r="S16" i="7" s="1"/>
  <c r="T16" i="7" s="1"/>
  <c r="R9" i="7"/>
  <c r="S19" i="7" s="1"/>
  <c r="T19" i="7" s="1"/>
  <c r="R27" i="7"/>
  <c r="S37" i="7" s="1"/>
  <c r="T37" i="7" s="1"/>
  <c r="X32" i="7"/>
  <c r="R44" i="5"/>
  <c r="AC33" i="5" s="1"/>
  <c r="R59" i="5"/>
  <c r="R51" i="6"/>
  <c r="S61" i="6" s="1"/>
  <c r="T61" i="6" s="1"/>
  <c r="R12" i="7"/>
  <c r="S22" i="7" s="1"/>
  <c r="T22" i="7" s="1"/>
  <c r="X28" i="7"/>
  <c r="R45" i="7"/>
  <c r="S55" i="7" s="1"/>
  <c r="T55" i="7" s="1"/>
  <c r="R12" i="6"/>
  <c r="S22" i="6" s="1"/>
  <c r="T22" i="6" s="1"/>
  <c r="R32" i="7"/>
  <c r="S42" i="7" s="1"/>
  <c r="T42" i="7" s="1"/>
  <c r="X46" i="7"/>
  <c r="R50" i="7"/>
  <c r="S60" i="7" s="1"/>
  <c r="T60" i="7" s="1"/>
  <c r="T18" i="6"/>
  <c r="W18" i="6" s="1"/>
  <c r="T21" i="7"/>
  <c r="X49" i="7"/>
  <c r="R26" i="5"/>
  <c r="S37" i="5" s="1"/>
  <c r="T37" i="5" s="1"/>
  <c r="R6" i="6"/>
  <c r="S16" i="6" s="1"/>
  <c r="T16" i="6" s="1"/>
  <c r="W16" i="6" s="1"/>
  <c r="R48" i="6"/>
  <c r="S58" i="6" s="1"/>
  <c r="T58" i="6" s="1"/>
  <c r="X51" i="7"/>
  <c r="T17" i="6"/>
  <c r="R53" i="5"/>
  <c r="S63" i="5" s="1"/>
  <c r="R51" i="5"/>
  <c r="S61" i="5" s="1"/>
  <c r="X26" i="7"/>
  <c r="AC32" i="5"/>
  <c r="R5" i="6"/>
  <c r="S15" i="6" s="1"/>
  <c r="T15" i="6" s="1"/>
  <c r="W15" i="6" s="1"/>
  <c r="R11" i="6"/>
  <c r="S21" i="6" s="1"/>
  <c r="T21" i="6" s="1"/>
  <c r="R52" i="7"/>
  <c r="S62" i="7" s="1"/>
  <c r="T62" i="7" s="1"/>
  <c r="X45" i="7"/>
  <c r="R61" i="5"/>
  <c r="R39" i="5"/>
  <c r="X25" i="7"/>
  <c r="R28" i="7"/>
  <c r="S38" i="7" s="1"/>
  <c r="T38" i="7" s="1"/>
  <c r="T17" i="7"/>
  <c r="T20" i="7"/>
  <c r="R37" i="5"/>
  <c r="R29" i="7"/>
  <c r="S39" i="7" s="1"/>
  <c r="T39" i="7" s="1"/>
  <c r="X47" i="7"/>
  <c r="R51" i="7"/>
  <c r="S61" i="7" s="1"/>
  <c r="T61" i="7" s="1"/>
  <c r="R29" i="6"/>
  <c r="S39" i="6" s="1"/>
  <c r="T39" i="6" s="1"/>
  <c r="R45" i="6"/>
  <c r="S55" i="6" s="1"/>
  <c r="T55" i="6" s="1"/>
  <c r="W55" i="6" s="1"/>
  <c r="R49" i="6"/>
  <c r="S59" i="6" s="1"/>
  <c r="T59" i="6" s="1"/>
  <c r="X30" i="7"/>
  <c r="W12" i="10"/>
  <c r="W37" i="10"/>
  <c r="W38" i="10"/>
  <c r="W35" i="10"/>
  <c r="W39" i="10"/>
  <c r="W14" i="10"/>
  <c r="W40" i="10"/>
  <c r="W61" i="10"/>
  <c r="W59" i="10"/>
  <c r="W11" i="10"/>
  <c r="W55" i="10"/>
  <c r="W57" i="10"/>
  <c r="W10" i="10"/>
  <c r="W16" i="10"/>
  <c r="W13" i="10"/>
  <c r="W15" i="10"/>
  <c r="W36" i="6"/>
  <c r="T43" i="5"/>
  <c r="W42" i="6"/>
  <c r="W62" i="6"/>
  <c r="W20" i="6"/>
  <c r="W21" i="6"/>
  <c r="W59" i="6"/>
  <c r="M64" i="5"/>
  <c r="R64" i="5"/>
  <c r="E64" i="5"/>
  <c r="AB54" i="5" s="1"/>
  <c r="M63" i="5"/>
  <c r="R63" i="5"/>
  <c r="E63" i="5"/>
  <c r="AB53" i="5" s="1"/>
  <c r="M62" i="5"/>
  <c r="R62" i="5"/>
  <c r="E62" i="5"/>
  <c r="AB52" i="5" s="1"/>
  <c r="M61" i="5"/>
  <c r="E61" i="5"/>
  <c r="AB51" i="5" s="1"/>
  <c r="M60" i="5"/>
  <c r="R60" i="5"/>
  <c r="E60" i="5"/>
  <c r="AB50" i="5" s="1"/>
  <c r="M59" i="5"/>
  <c r="E59" i="5"/>
  <c r="AB49" i="5" s="1"/>
  <c r="M58" i="5"/>
  <c r="R58" i="5"/>
  <c r="E58" i="5"/>
  <c r="AB48" i="5" s="1"/>
  <c r="M57" i="5"/>
  <c r="E57" i="5"/>
  <c r="AB47" i="5" s="1"/>
  <c r="M54" i="5"/>
  <c r="R54" i="5"/>
  <c r="S64" i="5" s="1"/>
  <c r="E54" i="5"/>
  <c r="M53" i="5"/>
  <c r="E53" i="5"/>
  <c r="M52" i="5"/>
  <c r="R52" i="5"/>
  <c r="S62" i="5" s="1"/>
  <c r="E52" i="5"/>
  <c r="M51" i="5"/>
  <c r="E51" i="5"/>
  <c r="M50" i="5"/>
  <c r="R50" i="5"/>
  <c r="S60" i="5" s="1"/>
  <c r="E50" i="5"/>
  <c r="M49" i="5"/>
  <c r="E49" i="5"/>
  <c r="M48" i="5"/>
  <c r="R48" i="5"/>
  <c r="S58" i="5" s="1"/>
  <c r="T58" i="5" s="1"/>
  <c r="E48" i="5"/>
  <c r="M47" i="5"/>
  <c r="R47" i="5"/>
  <c r="S57" i="5" s="1"/>
  <c r="E47" i="5"/>
  <c r="M42" i="5"/>
  <c r="R42" i="5"/>
  <c r="E42" i="5"/>
  <c r="AB31" i="5" s="1"/>
  <c r="M41" i="5"/>
  <c r="R41" i="5"/>
  <c r="T41" i="5" s="1"/>
  <c r="E41" i="5"/>
  <c r="AB30" i="5" s="1"/>
  <c r="AC30" i="5" s="1"/>
  <c r="M40" i="5"/>
  <c r="R40" i="5"/>
  <c r="E40" i="5"/>
  <c r="AB29" i="5" s="1"/>
  <c r="AC29" i="5" s="1"/>
  <c r="M39" i="5"/>
  <c r="E39" i="5"/>
  <c r="AB28" i="5" s="1"/>
  <c r="M38" i="5"/>
  <c r="R38" i="5"/>
  <c r="E38" i="5"/>
  <c r="AB27" i="5" s="1"/>
  <c r="M37" i="5"/>
  <c r="E37" i="5"/>
  <c r="AB26" i="5" s="1"/>
  <c r="M36" i="5"/>
  <c r="R36" i="5"/>
  <c r="E36" i="5"/>
  <c r="AB25" i="5" s="1"/>
  <c r="R33" i="5"/>
  <c r="S44" i="5" s="1"/>
  <c r="T44" i="5" s="1"/>
  <c r="E33" i="5"/>
  <c r="M31" i="5"/>
  <c r="I31" i="5"/>
  <c r="R31" i="5" s="1"/>
  <c r="S42" i="5" s="1"/>
  <c r="E31" i="5"/>
  <c r="AB11" i="5" s="1"/>
  <c r="M30" i="5"/>
  <c r="I30" i="5"/>
  <c r="E30" i="5"/>
  <c r="AB10" i="5" s="1"/>
  <c r="M29" i="5"/>
  <c r="I29" i="5"/>
  <c r="R29" i="5" s="1"/>
  <c r="S40" i="5" s="1"/>
  <c r="E29" i="5"/>
  <c r="AB9" i="5" s="1"/>
  <c r="M28" i="5"/>
  <c r="I28" i="5"/>
  <c r="R28" i="5" s="1"/>
  <c r="S39" i="5" s="1"/>
  <c r="T39" i="5" s="1"/>
  <c r="E28" i="5"/>
  <c r="AB8" i="5" s="1"/>
  <c r="M27" i="5"/>
  <c r="I27" i="5"/>
  <c r="R27" i="5" s="1"/>
  <c r="S38" i="5" s="1"/>
  <c r="E27" i="5"/>
  <c r="AB7" i="5" s="1"/>
  <c r="AC7" i="5" s="1"/>
  <c r="M26" i="5"/>
  <c r="I26" i="5"/>
  <c r="E26" i="5"/>
  <c r="AB6" i="5" s="1"/>
  <c r="M25" i="5"/>
  <c r="I25" i="5"/>
  <c r="R25" i="5" s="1"/>
  <c r="S36" i="5" s="1"/>
  <c r="E25" i="5"/>
  <c r="AB5" i="5" s="1"/>
  <c r="AC5" i="5" s="1"/>
  <c r="M22" i="5"/>
  <c r="I22" i="5"/>
  <c r="R22" i="5" s="1"/>
  <c r="E22" i="5"/>
  <c r="M21" i="5"/>
  <c r="I21" i="5"/>
  <c r="R21" i="5" s="1"/>
  <c r="E21" i="5"/>
  <c r="M20" i="5"/>
  <c r="I20" i="5"/>
  <c r="E20" i="5"/>
  <c r="M19" i="5"/>
  <c r="I19" i="5"/>
  <c r="E19" i="5"/>
  <c r="M18" i="5"/>
  <c r="I18" i="5"/>
  <c r="R18" i="5" s="1"/>
  <c r="E18" i="5"/>
  <c r="M17" i="5"/>
  <c r="I17" i="5"/>
  <c r="R17" i="5" s="1"/>
  <c r="E17" i="5"/>
  <c r="M16" i="5"/>
  <c r="I16" i="5"/>
  <c r="E16" i="5"/>
  <c r="M15" i="5"/>
  <c r="I15" i="5"/>
  <c r="R15" i="5" s="1"/>
  <c r="E15" i="5"/>
  <c r="M12" i="5"/>
  <c r="I12" i="5"/>
  <c r="E12" i="5"/>
  <c r="M11" i="5"/>
  <c r="I11" i="5"/>
  <c r="E11" i="5"/>
  <c r="M10" i="5"/>
  <c r="I10" i="5"/>
  <c r="E10" i="5"/>
  <c r="M9" i="5"/>
  <c r="I9" i="5"/>
  <c r="E9" i="5"/>
  <c r="M8" i="5"/>
  <c r="I8" i="5"/>
  <c r="R8" i="5" s="1"/>
  <c r="S18" i="5" s="1"/>
  <c r="E8" i="5"/>
  <c r="M7" i="5"/>
  <c r="I7" i="5"/>
  <c r="E7" i="5"/>
  <c r="M6" i="5"/>
  <c r="I6" i="5"/>
  <c r="E6" i="5"/>
  <c r="M5" i="5"/>
  <c r="I5" i="5"/>
  <c r="E5" i="5"/>
  <c r="T61" i="5" l="1"/>
  <c r="T62" i="5"/>
  <c r="T40" i="5"/>
  <c r="T64" i="5"/>
  <c r="T60" i="5"/>
  <c r="AC47" i="5"/>
  <c r="T38" i="5"/>
  <c r="T42" i="5"/>
  <c r="T57" i="5"/>
  <c r="T36" i="5"/>
  <c r="T63" i="5"/>
  <c r="AC48" i="5"/>
  <c r="S19" i="5"/>
  <c r="AC53" i="5"/>
  <c r="X52" i="7"/>
  <c r="AC6" i="5"/>
  <c r="R12" i="5"/>
  <c r="AC12" i="5" s="1"/>
  <c r="S16" i="5"/>
  <c r="T16" i="5" s="1"/>
  <c r="S20" i="5"/>
  <c r="T20" i="5" s="1"/>
  <c r="X29" i="7"/>
  <c r="X33" i="7" s="1"/>
  <c r="AC26" i="5"/>
  <c r="AC49" i="5"/>
  <c r="AC27" i="5"/>
  <c r="AC31" i="5"/>
  <c r="AC50" i="5"/>
  <c r="AC54" i="5"/>
  <c r="AC25" i="5"/>
  <c r="AC52" i="5"/>
  <c r="S15" i="5"/>
  <c r="X50" i="7"/>
  <c r="X53" i="7" s="1"/>
  <c r="R9" i="5"/>
  <c r="AC9" i="5" s="1"/>
  <c r="S17" i="5"/>
  <c r="S21" i="5"/>
  <c r="AC28" i="5"/>
  <c r="AC51" i="5"/>
  <c r="R10" i="5"/>
  <c r="AC10" i="5" s="1"/>
  <c r="AC8" i="5"/>
  <c r="X27" i="7"/>
  <c r="R11" i="5"/>
  <c r="AC11" i="5" s="1"/>
  <c r="W18" i="10"/>
  <c r="W43" i="10"/>
  <c r="W63" i="10"/>
  <c r="T19" i="5"/>
  <c r="T21" i="5"/>
  <c r="T18" i="5"/>
  <c r="T17" i="5"/>
  <c r="T15" i="5"/>
  <c r="W60" i="6"/>
  <c r="W56" i="6"/>
  <c r="W40" i="6"/>
  <c r="W57" i="6"/>
  <c r="W19" i="6"/>
  <c r="W58" i="6"/>
  <c r="W39" i="6"/>
  <c r="W37" i="6"/>
  <c r="W38" i="6"/>
  <c r="W41" i="6"/>
  <c r="W22" i="6"/>
  <c r="W17" i="6"/>
  <c r="W61" i="6"/>
  <c r="S2" i="3"/>
  <c r="Q2" i="3"/>
  <c r="A6" i="3"/>
  <c r="A5" i="3"/>
  <c r="A4" i="3"/>
  <c r="B24" i="3"/>
  <c r="D20" i="3"/>
  <c r="B20" i="3"/>
  <c r="D19" i="3"/>
  <c r="B19" i="3"/>
  <c r="A26" i="3" s="1"/>
  <c r="C14" i="3"/>
  <c r="C13" i="3"/>
  <c r="C12" i="3"/>
  <c r="B25" i="3" s="1"/>
  <c r="J6" i="3"/>
  <c r="K6" i="3" s="1"/>
  <c r="B14" i="3" s="1"/>
  <c r="E14" i="3" s="1"/>
  <c r="J5" i="3"/>
  <c r="K5" i="3" s="1"/>
  <c r="B13" i="3" s="1"/>
  <c r="E13" i="3" s="1"/>
  <c r="J4" i="3"/>
  <c r="AC34" i="5" l="1"/>
  <c r="AC55" i="5"/>
  <c r="AC13" i="5"/>
  <c r="S22" i="5"/>
  <c r="T22" i="5" s="1"/>
  <c r="W63" i="6"/>
  <c r="W23" i="6"/>
  <c r="K4" i="3"/>
  <c r="B12" i="3" s="1"/>
  <c r="E12" i="3" s="1"/>
  <c r="B27" i="3"/>
  <c r="B26" i="3"/>
  <c r="C24" i="3"/>
  <c r="D12" i="3" s="1"/>
  <c r="D13" i="3" s="1"/>
  <c r="D14" i="3" s="1"/>
  <c r="G12" i="3"/>
  <c r="W8" i="7" l="1"/>
  <c r="X8" i="7" s="1"/>
  <c r="W10" i="7"/>
  <c r="X10" i="7" s="1"/>
  <c r="W12" i="7"/>
  <c r="X12" i="7" s="1"/>
  <c r="W6" i="7"/>
  <c r="X6" i="7" s="1"/>
  <c r="W11" i="7"/>
  <c r="X11" i="7" s="1"/>
  <c r="W7" i="7"/>
  <c r="X7" i="7" s="1"/>
  <c r="W4" i="7"/>
  <c r="X4" i="7" s="1"/>
  <c r="W9" i="7"/>
  <c r="X9" i="7" s="1"/>
  <c r="W5" i="7"/>
  <c r="X5" i="7" s="1"/>
  <c r="X13" i="7" l="1"/>
</calcChain>
</file>

<file path=xl/sharedStrings.xml><?xml version="1.0" encoding="utf-8"?>
<sst xmlns="http://schemas.openxmlformats.org/spreadsheetml/2006/main" count="248" uniqueCount="104">
  <si>
    <t>nodtest</t>
  </si>
  <si>
    <t>Voltaje</t>
  </si>
  <si>
    <t>Temperatura</t>
  </si>
  <si>
    <t>Coeficientes de migración</t>
  </si>
  <si>
    <t>Tiempo</t>
  </si>
  <si>
    <t>L</t>
  </si>
  <si>
    <t>Concentración inicial</t>
  </si>
  <si>
    <t>Valor de la error funcion</t>
  </si>
  <si>
    <t>Argumento de la error funcion</t>
  </si>
  <si>
    <t>tiempo</t>
  </si>
  <si>
    <t>m2/s</t>
  </si>
  <si>
    <t>milimetros de penetración</t>
  </si>
  <si>
    <t>Concentración a x mm</t>
  </si>
  <si>
    <t>Concentración superficial</t>
  </si>
  <si>
    <t>Peso del cemento</t>
  </si>
  <si>
    <t>Peso del concreto</t>
  </si>
  <si>
    <t>R</t>
  </si>
  <si>
    <t>FC1</t>
  </si>
  <si>
    <t>FC3</t>
  </si>
  <si>
    <t>FC-1</t>
  </si>
  <si>
    <t>FC-3</t>
  </si>
  <si>
    <t>Lenght</t>
  </si>
  <si>
    <t>Name</t>
  </si>
  <si>
    <t>Average</t>
  </si>
  <si>
    <t>Coefficient</t>
  </si>
  <si>
    <t>Distance [mm]</t>
  </si>
  <si>
    <t>Date</t>
  </si>
  <si>
    <t>from</t>
  </si>
  <si>
    <t>to</t>
  </si>
  <si>
    <t>MIX</t>
  </si>
  <si>
    <t>Mass dry sample [g]</t>
  </si>
  <si>
    <t>Mass glass 1 + sample after drying [g]</t>
  </si>
  <si>
    <t>Mass glass 1 + sample [g]</t>
  </si>
  <si>
    <t>Mass glass 1 [g]</t>
  </si>
  <si>
    <t>Depth (average) [mm]</t>
  </si>
  <si>
    <t>Depth [mm]</t>
  </si>
  <si>
    <t>Mass glass 2 [g]</t>
  </si>
  <si>
    <t>Mass glass 2 + solution before titration [g]</t>
  </si>
  <si>
    <t>Mass solution before titration [g]</t>
  </si>
  <si>
    <t>Potential [mV]</t>
  </si>
  <si>
    <r>
      <t>Volume AgNO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added [mL]</t>
    </r>
  </si>
  <si>
    <t>Cl total [mmol]</t>
  </si>
  <si>
    <t>Cl added [mmol]</t>
  </si>
  <si>
    <t>Cl in sample [g/100 g paste]</t>
  </si>
  <si>
    <t>Cs</t>
  </si>
  <si>
    <t>Ci</t>
  </si>
  <si>
    <t>t</t>
  </si>
  <si>
    <t>De</t>
  </si>
  <si>
    <t>Average 2 specimens [g/100 g paste]</t>
  </si>
  <si>
    <t>Diff^2</t>
  </si>
  <si>
    <t>Calculated</t>
  </si>
  <si>
    <t>D-Rapid-fit</t>
  </si>
  <si>
    <t>D-FC1-fit</t>
  </si>
  <si>
    <t>D-FC3-fit</t>
  </si>
  <si>
    <t>PC</t>
  </si>
  <si>
    <t>PCC35</t>
  </si>
  <si>
    <t>PCC50</t>
  </si>
  <si>
    <t>M-PC-4w</t>
  </si>
  <si>
    <t>M-PCC35-4w</t>
  </si>
  <si>
    <t>M-PCC50-4w</t>
  </si>
  <si>
    <t>D-PC-12w</t>
  </si>
  <si>
    <t>D-PCC35-12w</t>
  </si>
  <si>
    <t>D-PCC50-12w</t>
  </si>
  <si>
    <t>M-PC-12w</t>
  </si>
  <si>
    <t>M-PCC35-12w</t>
  </si>
  <si>
    <t>M-PCC50-12w</t>
  </si>
  <si>
    <t>D-PC-30w</t>
  </si>
  <si>
    <t>D-PCC35-30w</t>
  </si>
  <si>
    <t>D-PCC50-30w</t>
  </si>
  <si>
    <t>cs</t>
  </si>
  <si>
    <t>D</t>
  </si>
  <si>
    <t>k</t>
  </si>
  <si>
    <t>beta</t>
  </si>
  <si>
    <t>F</t>
  </si>
  <si>
    <t>z</t>
  </si>
  <si>
    <t>U</t>
  </si>
  <si>
    <t>LMS</t>
  </si>
  <si>
    <t>Water loss [wt.%]</t>
  </si>
  <si>
    <t>26w</t>
  </si>
  <si>
    <t>8w</t>
  </si>
  <si>
    <t>M-PC-12w-A</t>
  </si>
  <si>
    <t>M-PC-12w-B</t>
  </si>
  <si>
    <t>M-PCC35-12w-B</t>
  </si>
  <si>
    <t>M-PCC35-12w-A</t>
  </si>
  <si>
    <t>M-PCC50-12w-A</t>
  </si>
  <si>
    <t>M-PCC50-12w-B</t>
  </si>
  <si>
    <t>D-PC-12w-A</t>
  </si>
  <si>
    <t>D-PC-12w-B</t>
  </si>
  <si>
    <t>D-PCC35-12w-A</t>
  </si>
  <si>
    <t>D-PCC35-12w-B</t>
  </si>
  <si>
    <t>D-PCC50-12w-A</t>
  </si>
  <si>
    <t>D-PCC50-12w-B</t>
  </si>
  <si>
    <t>M-PC-4w-A</t>
  </si>
  <si>
    <t>M-PC-4w-B</t>
  </si>
  <si>
    <t>M-PCC35-4w-A</t>
  </si>
  <si>
    <t>M-PCC35-4w-B</t>
  </si>
  <si>
    <t>M-PCC50-4w-A</t>
  </si>
  <si>
    <t>M-PCC50-4w-B</t>
  </si>
  <si>
    <t>D-PC-30w-A</t>
  </si>
  <si>
    <t>D-PC-30w-B</t>
  </si>
  <si>
    <t>D-PCC35-30w-A</t>
  </si>
  <si>
    <t>D-PCC35-30w-B</t>
  </si>
  <si>
    <t>D-PCC50-30w-A</t>
  </si>
  <si>
    <t>D-PCC50-30w-B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</si>
</sst>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%"/>
    <numFmt numFmtId="165" formatCode="0.000"/>
    <numFmt numFmtId="166" formatCode="0.0000000"/>
    <numFmt numFmtId="167" formatCode="0.0"/>
    <numFmt numFmtId="168" formatCode="0.0E+00"/>
  </numFmts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2">
    <xf numFmtId="0" fontId="0" fillId="0" borderId="0" xfId="0"/>
    <xf numFmtId="10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/>
    <xf numFmtId="9" fontId="0" fillId="0" borderId="0" xfId="1" applyFont="1"/>
    <xf numFmtId="11" fontId="0" fillId="0" borderId="0" xfId="0" applyNumberFormat="1"/>
    <xf numFmtId="164" fontId="0" fillId="0" borderId="0" xfId="1" applyNumberFormat="1" applyFont="1"/>
    <xf numFmtId="165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/>
    </xf>
    <xf numFmtId="2" fontId="0" fillId="0" borderId="0" xfId="0" applyNumberFormat="1"/>
    <xf numFmtId="166" fontId="0" fillId="0" borderId="0" xfId="0" applyNumberFormat="1"/>
    <xf numFmtId="167" fontId="0" fillId="0" borderId="1" xfId="0" applyNumberFormat="1" applyBorder="1"/>
    <xf numFmtId="20" fontId="0" fillId="0" borderId="0" xfId="0" applyNumberFormat="1"/>
    <xf numFmtId="46" fontId="0" fillId="0" borderId="0" xfId="0" applyNumberFormat="1"/>
    <xf numFmtId="0" fontId="4" fillId="0" borderId="1" xfId="0" applyFont="1" applyBorder="1"/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4" fontId="4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/>
    <xf numFmtId="1" fontId="4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4" fillId="0" borderId="0" xfId="0" applyNumberFormat="1" applyFont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1" fontId="4" fillId="0" borderId="0" xfId="0" applyNumberFormat="1" applyFont="1"/>
    <xf numFmtId="167" fontId="6" fillId="2" borderId="7" xfId="1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167" fontId="8" fillId="0" borderId="0" xfId="0" applyNumberFormat="1" applyFont="1" applyAlignment="1">
      <alignment horizontal="center"/>
    </xf>
    <xf numFmtId="167" fontId="11" fillId="2" borderId="1" xfId="0" applyNumberFormat="1" applyFont="1" applyFill="1" applyBorder="1" applyAlignment="1">
      <alignment horizontal="center" vertical="center"/>
    </xf>
    <xf numFmtId="167" fontId="12" fillId="0" borderId="0" xfId="0" applyNumberFormat="1" applyFont="1" applyAlignment="1">
      <alignment horizontal="center"/>
    </xf>
    <xf numFmtId="167" fontId="11" fillId="0" borderId="0" xfId="0" applyNumberFormat="1" applyFont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/>
    <xf numFmtId="2" fontId="3" fillId="0" borderId="1" xfId="0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67" fontId="4" fillId="0" borderId="0" xfId="0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168" fontId="4" fillId="0" borderId="0" xfId="0" applyNumberFormat="1" applyFont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colors>
    <mruColors>
      <color rgb="FF979797"/>
      <color rgb="FFCC3300"/>
      <color rgb="FF009900"/>
      <color rgb="FF660066"/>
      <color rgb="FFCC66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SansSerif" panose="00000400000000000000" pitchFamily="2" charset="2"/>
                <a:ea typeface="+mn-ea"/>
                <a:cs typeface="+mn-cs"/>
              </a:defRPr>
            </a:pPr>
            <a:r>
              <a:rPr lang="en-US"/>
              <a:t>Migration coefficient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SansSerif" panose="00000400000000000000" pitchFamily="2" charset="2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x!$B$4:$B$6</c:f>
              <c:strCache>
                <c:ptCount val="3"/>
                <c:pt idx="0">
                  <c:v>R</c:v>
                </c:pt>
                <c:pt idx="1">
                  <c:v>FC1</c:v>
                </c:pt>
                <c:pt idx="2">
                  <c:v>FC3</c:v>
                </c:pt>
              </c:strCache>
            </c:strRef>
          </c:cat>
          <c:val>
            <c:numRef>
              <c:f>x!$K$4:$K$6</c:f>
              <c:numCache>
                <c:formatCode>General</c:formatCode>
                <c:ptCount val="3"/>
                <c:pt idx="0">
                  <c:v>8.5517635461053718</c:v>
                </c:pt>
                <c:pt idx="1">
                  <c:v>4.3741486010758539</c:v>
                </c:pt>
                <c:pt idx="2">
                  <c:v>2.3398225544739755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57-4949-9621-EB92D9569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41076712"/>
        <c:axId val="741081304"/>
      </c:barChart>
      <c:catAx>
        <c:axId val="741076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SansSerif" panose="00000400000000000000" pitchFamily="2" charset="2"/>
                <a:ea typeface="+mn-ea"/>
                <a:cs typeface="+mn-cs"/>
              </a:defRPr>
            </a:pPr>
            <a:endParaRPr lang="fr-FR"/>
          </a:p>
        </c:txPr>
        <c:crossAx val="741081304"/>
        <c:crosses val="autoZero"/>
        <c:auto val="1"/>
        <c:lblAlgn val="ctr"/>
        <c:lblOffset val="100"/>
        <c:noMultiLvlLbl val="0"/>
      </c:catAx>
      <c:valAx>
        <c:axId val="74108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SansSerif" panose="00000400000000000000" pitchFamily="2" charset="2"/>
                <a:ea typeface="+mn-ea"/>
                <a:cs typeface="+mn-cs"/>
              </a:defRPr>
            </a:pPr>
            <a:endParaRPr lang="fr-FR"/>
          </a:p>
        </c:txPr>
        <c:crossAx val="741076712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SansSerif" panose="00000400000000000000" pitchFamily="2" charset="2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89930555555563E-2"/>
          <c:y val="0.10583333333333333"/>
          <c:w val="0.85386180555555558"/>
          <c:h val="0.732594444444444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'Migration 4w'!$T$14</c:f>
              <c:strCache>
                <c:ptCount val="1"/>
                <c:pt idx="0">
                  <c:v>M-PC-4w</c:v>
                </c:pt>
              </c:strCache>
            </c:strRef>
          </c:tx>
          <c:spPr>
            <a:ln w="63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'Migration 4w'!$E$15:$E$22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'Migration 4w'!$T$15:$T$22</c:f>
              <c:numCache>
                <c:formatCode>0.0</c:formatCode>
                <c:ptCount val="8"/>
                <c:pt idx="0">
                  <c:v>3.0847697659105613</c:v>
                </c:pt>
                <c:pt idx="1">
                  <c:v>2.3754734221743776</c:v>
                </c:pt>
                <c:pt idx="2">
                  <c:v>1.8848258551753527</c:v>
                </c:pt>
                <c:pt idx="3">
                  <c:v>1.384465115411857</c:v>
                </c:pt>
                <c:pt idx="4">
                  <c:v>0.55660373738974778</c:v>
                </c:pt>
                <c:pt idx="5">
                  <c:v>6.0478110212391842E-2</c:v>
                </c:pt>
                <c:pt idx="6">
                  <c:v>3.6995654942555606E-2</c:v>
                </c:pt>
                <c:pt idx="7">
                  <c:v>4.621515411068549E-2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44-461A-8DF0-1B8ED7CDCA5D}"/>
            </c:ext>
          </c:extLst>
        </c:ser>
        <c:ser>
          <c:idx val="2"/>
          <c:order val="2"/>
          <c:tx>
            <c:strRef>
              <c:f>'Migration 12w'!$T$14</c:f>
              <c:strCache>
                <c:ptCount val="1"/>
                <c:pt idx="0">
                  <c:v>M-PC-12w</c:v>
                </c:pt>
              </c:strCache>
            </c:strRef>
          </c:tx>
          <c:spPr>
            <a:ln w="63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'Migration 12w'!$E$15:$E$22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'Migration 12w'!$T$15:$T$22</c:f>
              <c:numCache>
                <c:formatCode>0.0</c:formatCode>
                <c:ptCount val="8"/>
                <c:pt idx="0">
                  <c:v>3.1463084622384287</c:v>
                </c:pt>
                <c:pt idx="1">
                  <c:v>2.4513994000922921</c:v>
                </c:pt>
                <c:pt idx="2">
                  <c:v>2.010184912854017</c:v>
                </c:pt>
                <c:pt idx="3">
                  <c:v>1.4360286402569633</c:v>
                </c:pt>
                <c:pt idx="4">
                  <c:v>0.6994557692307718</c:v>
                </c:pt>
                <c:pt idx="5">
                  <c:v>4.9003113325030878E-2</c:v>
                </c:pt>
                <c:pt idx="6">
                  <c:v>1.7905964535196238E-2</c:v>
                </c:pt>
                <c:pt idx="7">
                  <c:v>4.1199638429752258E-2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44-461A-8DF0-1B8ED7CDC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979792"/>
        <c:axId val="141476273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'Diffusion 12w'!$T$14</c15:sqref>
                        </c15:formulaRef>
                      </c:ext>
                    </c:extLst>
                    <c:strCache>
                      <c:ptCount val="1"/>
                      <c:pt idx="0">
                        <c:v>D-PC-12w</c:v>
                      </c:pt>
                    </c:strCache>
                  </c:strRef>
                </c:tx>
                <c:spPr>
                  <a:ln w="6350" cap="rnd">
                    <a:solidFill>
                      <a:schemeClr val="bg1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'Diffusion 12w'!$E$15:$E$22</c15:sqref>
                        </c15:formulaRef>
                      </c:ext>
                    </c:extLst>
                    <c:numCache>
                      <c:formatCode>0</c:formatCode>
                      <c:ptCount val="8"/>
                      <c:pt idx="0">
                        <c:v>1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'Diffusion 12w'!$T$15:$T$22</c15:sqref>
                        </c15:formulaRef>
                      </c:ext>
                    </c:extLst>
                    <c:numCache>
                      <c:formatCode>0.0</c:formatCode>
                      <c:ptCount val="8"/>
                      <c:pt idx="0">
                        <c:v>4.7321830466830042</c:v>
                      </c:pt>
                      <c:pt idx="1">
                        <c:v>2.5939255205552527</c:v>
                      </c:pt>
                      <c:pt idx="2">
                        <c:v>1.5404417750141401</c:v>
                      </c:pt>
                      <c:pt idx="3">
                        <c:v>0.83182945945945574</c:v>
                      </c:pt>
                      <c:pt idx="4">
                        <c:v>0.1216377181779479</c:v>
                      </c:pt>
                      <c:pt idx="5">
                        <c:v>2.5214699683877788E-2</c:v>
                      </c:pt>
                      <c:pt idx="6">
                        <c:v>-1.962177121771231E-2</c:v>
                      </c:pt>
                      <c:pt idx="7">
                        <c:v>3.438367096378165E-2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B244-461A-8DF0-1B8ED7CDCA5D}"/>
                  </c:ext>
                </c:extLst>
              </c15:ser>
            </c15:filteredScatterSeries>
          </c:ext>
        </c:extLst>
      </c:scatterChart>
      <c:valAx>
        <c:axId val="1066979792"/>
        <c:scaling>
          <c:orientation val="minMax"/>
          <c:max val="35"/>
          <c:min val="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414762736"/>
        <c:crosses val="autoZero"/>
        <c:crossBetween val="midCat"/>
        <c:majorUnit val="10"/>
      </c:valAx>
      <c:valAx>
        <c:axId val="1414762736"/>
        <c:scaling>
          <c:orientation val="minMax"/>
          <c:max val="6"/>
          <c:min val="0"/>
        </c:scaling>
        <c:delete val="0"/>
        <c:axPos val="l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066979792"/>
        <c:crosses val="autoZero"/>
        <c:crossBetween val="midCat"/>
        <c:majorUnit val="1"/>
        <c:minorUnit val="0.5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89930555555563E-2"/>
          <c:y val="0.10583333333333333"/>
          <c:w val="0.85386180555555558"/>
          <c:h val="0.732594444444444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'Migration 4w'!$T$35</c:f>
              <c:strCache>
                <c:ptCount val="1"/>
                <c:pt idx="0">
                  <c:v>M-PCC35-4w</c:v>
                </c:pt>
              </c:strCache>
            </c:strRef>
          </c:tx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'Migration 4w'!$E$36:$E$44</c:f>
              <c:numCache>
                <c:formatCode>0</c:formatCode>
                <c:ptCount val="9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</c:numCache>
            </c:numRef>
          </c:xVal>
          <c:yVal>
            <c:numRef>
              <c:f>'Migration 4w'!$T$36:$T$44</c:f>
              <c:numCache>
                <c:formatCode>0.0</c:formatCode>
                <c:ptCount val="9"/>
                <c:pt idx="0">
                  <c:v>2.9952629080224193</c:v>
                </c:pt>
                <c:pt idx="1">
                  <c:v>2.4586109254046473</c:v>
                </c:pt>
                <c:pt idx="2">
                  <c:v>1.831564397982119</c:v>
                </c:pt>
                <c:pt idx="3">
                  <c:v>1.4659912508964759</c:v>
                </c:pt>
                <c:pt idx="4">
                  <c:v>1.2111593922200399</c:v>
                </c:pt>
                <c:pt idx="5">
                  <c:v>0.96511446763608122</c:v>
                </c:pt>
                <c:pt idx="6">
                  <c:v>0.73906099299520356</c:v>
                </c:pt>
                <c:pt idx="7">
                  <c:v>0.33088516061030315</c:v>
                </c:pt>
                <c:pt idx="8">
                  <c:v>9.8017012525232788E-2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9A-4440-8552-CC6D034490A0}"/>
            </c:ext>
          </c:extLst>
        </c:ser>
        <c:ser>
          <c:idx val="2"/>
          <c:order val="2"/>
          <c:tx>
            <c:strRef>
              <c:f>'Migration 12w'!$T$34</c:f>
              <c:strCache>
                <c:ptCount val="1"/>
                <c:pt idx="0">
                  <c:v>M-PCC35-12w</c:v>
                </c:pt>
              </c:strCache>
            </c:strRef>
          </c:tx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'Migration 12w'!$E$35:$E$42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'Migration 12w'!$T$35:$T$42</c:f>
              <c:numCache>
                <c:formatCode>0.0</c:formatCode>
                <c:ptCount val="8"/>
                <c:pt idx="0">
                  <c:v>3.01133585313179</c:v>
                </c:pt>
                <c:pt idx="1">
                  <c:v>2.4579308005427585</c:v>
                </c:pt>
                <c:pt idx="2">
                  <c:v>1.5439627709707824</c:v>
                </c:pt>
                <c:pt idx="3">
                  <c:v>1.2132538915727329</c:v>
                </c:pt>
                <c:pt idx="4">
                  <c:v>0.91891478913922875</c:v>
                </c:pt>
                <c:pt idx="5">
                  <c:v>0.62513634311512323</c:v>
                </c:pt>
                <c:pt idx="6">
                  <c:v>0.25162549019607827</c:v>
                </c:pt>
                <c:pt idx="7">
                  <c:v>0.13411811722913025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9A-4440-8552-CC6D03449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979792"/>
        <c:axId val="141476273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'Diffusion 12w'!$T$34</c15:sqref>
                        </c15:formulaRef>
                      </c:ext>
                    </c:extLst>
                    <c:strCache>
                      <c:ptCount val="1"/>
                      <c:pt idx="0">
                        <c:v>D-PCC35-12w</c:v>
                      </c:pt>
                    </c:strCache>
                  </c:strRef>
                </c:tx>
                <c:spPr>
                  <a:ln w="63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'Diffusion 12w'!$E$35:$E$42</c15:sqref>
                        </c15:formulaRef>
                      </c:ext>
                    </c:extLst>
                    <c:numCache>
                      <c:formatCode>0</c:formatCode>
                      <c:ptCount val="8"/>
                      <c:pt idx="0">
                        <c:v>1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'Diffusion 12w'!$T$35:$T$42</c15:sqref>
                        </c15:formulaRef>
                      </c:ext>
                    </c:extLst>
                    <c:numCache>
                      <c:formatCode>0.0</c:formatCode>
                      <c:ptCount val="8"/>
                      <c:pt idx="0">
                        <c:v>3.206765294117615</c:v>
                      </c:pt>
                      <c:pt idx="1">
                        <c:v>1.9614024585782912</c:v>
                      </c:pt>
                      <c:pt idx="2">
                        <c:v>0.9409486703772475</c:v>
                      </c:pt>
                      <c:pt idx="3">
                        <c:v>0.27744330752212287</c:v>
                      </c:pt>
                      <c:pt idx="4">
                        <c:v>2.6689034369885446E-2</c:v>
                      </c:pt>
                      <c:pt idx="5">
                        <c:v>-3.662190082644636E-3</c:v>
                      </c:pt>
                      <c:pt idx="6">
                        <c:v>2.562650602409661E-2</c:v>
                      </c:pt>
                      <c:pt idx="7">
                        <c:v>#N/A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BD9A-4440-8552-CC6D034490A0}"/>
                  </c:ext>
                </c:extLst>
              </c15:ser>
            </c15:filteredScatterSeries>
          </c:ext>
        </c:extLst>
      </c:scatterChart>
      <c:valAx>
        <c:axId val="1066979792"/>
        <c:scaling>
          <c:orientation val="minMax"/>
          <c:max val="35"/>
          <c:min val="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414762736"/>
        <c:crosses val="autoZero"/>
        <c:crossBetween val="midCat"/>
        <c:majorUnit val="10"/>
      </c:valAx>
      <c:valAx>
        <c:axId val="1414762736"/>
        <c:scaling>
          <c:orientation val="minMax"/>
          <c:max val="6"/>
          <c:min val="0"/>
        </c:scaling>
        <c:delete val="0"/>
        <c:axPos val="l"/>
        <c:numFmt formatCode="0" sourceLinked="0"/>
        <c:majorTickMark val="in"/>
        <c:minorTickMark val="in"/>
        <c:tickLblPos val="none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066979792"/>
        <c:crosses val="autoZero"/>
        <c:crossBetween val="midCat"/>
        <c:majorUnit val="1"/>
        <c:minorUnit val="0.5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89930555555563E-2"/>
          <c:y val="0.10583333333333333"/>
          <c:w val="0.85386180555555558"/>
          <c:h val="0.732594444444444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'Migration 4w'!$T$56</c:f>
              <c:strCache>
                <c:ptCount val="1"/>
                <c:pt idx="0">
                  <c:v>M-PCC50-4w</c:v>
                </c:pt>
              </c:strCache>
            </c:strRef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'Migration 4w'!$E$57:$E$64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'Migration 4w'!$T$57:$T$64</c:f>
              <c:numCache>
                <c:formatCode>0.0</c:formatCode>
                <c:ptCount val="8"/>
                <c:pt idx="0">
                  <c:v>3.1102188829529585</c:v>
                </c:pt>
                <c:pt idx="1">
                  <c:v>2.0752242729404662</c:v>
                </c:pt>
                <c:pt idx="2">
                  <c:v>1.3979610537272396</c:v>
                </c:pt>
                <c:pt idx="3">
                  <c:v>1.1378278868450158</c:v>
                </c:pt>
                <c:pt idx="4">
                  <c:v>0.88938981479204515</c:v>
                </c:pt>
                <c:pt idx="5">
                  <c:v>0.65159464971031023</c:v>
                </c:pt>
                <c:pt idx="6">
                  <c:v>0.34968469045122108</c:v>
                </c:pt>
                <c:pt idx="7">
                  <c:v>0.13422672322964641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FE-494A-8F99-0BBFC7311D4F}"/>
            </c:ext>
          </c:extLst>
        </c:ser>
        <c:ser>
          <c:idx val="2"/>
          <c:order val="2"/>
          <c:tx>
            <c:strRef>
              <c:f>'Migration 12w'!$T$54</c:f>
              <c:strCache>
                <c:ptCount val="1"/>
                <c:pt idx="0">
                  <c:v>M-PCC50-12w</c:v>
                </c:pt>
              </c:strCache>
            </c:strRef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'Migration 12w'!$E$55:$E$62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'Migration 12w'!$T$55:$T$62</c:f>
              <c:numCache>
                <c:formatCode>0.0</c:formatCode>
                <c:ptCount val="8"/>
                <c:pt idx="0">
                  <c:v>2.7162219696969849</c:v>
                </c:pt>
                <c:pt idx="1">
                  <c:v>1.9388383422200657</c:v>
                </c:pt>
                <c:pt idx="2">
                  <c:v>1.2528117303953288</c:v>
                </c:pt>
                <c:pt idx="3">
                  <c:v>0.80848418972331981</c:v>
                </c:pt>
                <c:pt idx="4">
                  <c:v>0.59502764505119898</c:v>
                </c:pt>
                <c:pt idx="5">
                  <c:v>0.32867053854276573</c:v>
                </c:pt>
                <c:pt idx="6">
                  <c:v>0.17873793284365244</c:v>
                </c:pt>
                <c:pt idx="7">
                  <c:v>9.8383707865168535E-2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FE-494A-8F99-0BBFC7311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979792"/>
        <c:axId val="141476273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'Diffusion 12w'!$T$54</c15:sqref>
                        </c15:formulaRef>
                      </c:ext>
                    </c:extLst>
                    <c:strCache>
                      <c:ptCount val="1"/>
                      <c:pt idx="0">
                        <c:v>D-PCC50-12w</c:v>
                      </c:pt>
                    </c:strCache>
                  </c:strRef>
                </c:tx>
                <c:spPr>
                  <a:ln w="63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'Diffusion 12w'!$E$55:$E$62</c15:sqref>
                        </c15:formulaRef>
                      </c:ext>
                    </c:extLst>
                    <c:numCache>
                      <c:formatCode>0</c:formatCode>
                      <c:ptCount val="8"/>
                      <c:pt idx="0">
                        <c:v>1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'Diffusion 12w'!$T$55:$T$62</c15:sqref>
                        </c15:formulaRef>
                      </c:ext>
                    </c:extLst>
                    <c:numCache>
                      <c:formatCode>0.0</c:formatCode>
                      <c:ptCount val="8"/>
                      <c:pt idx="0">
                        <c:v>3.3513965773809677</c:v>
                      </c:pt>
                      <c:pt idx="1">
                        <c:v>2.0872289266221942</c:v>
                      </c:pt>
                      <c:pt idx="2">
                        <c:v>0.94738792293233076</c:v>
                      </c:pt>
                      <c:pt idx="3">
                        <c:v>0.16281441922563367</c:v>
                      </c:pt>
                      <c:pt idx="4">
                        <c:v>3.7451730418943702E-2</c:v>
                      </c:pt>
                      <c:pt idx="5">
                        <c:v>4.3290366350067708E-2</c:v>
                      </c:pt>
                      <c:pt idx="6">
                        <c:v>5.5840955284553254E-3</c:v>
                      </c:pt>
                      <c:pt idx="7">
                        <c:v>#N/A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21FE-494A-8F99-0BBFC7311D4F}"/>
                  </c:ext>
                </c:extLst>
              </c15:ser>
            </c15:filteredScatterSeries>
          </c:ext>
        </c:extLst>
      </c:scatterChart>
      <c:valAx>
        <c:axId val="1066979792"/>
        <c:scaling>
          <c:orientation val="minMax"/>
          <c:max val="35"/>
          <c:min val="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414762736"/>
        <c:crosses val="autoZero"/>
        <c:crossBetween val="midCat"/>
        <c:majorUnit val="10"/>
        <c:minorUnit val="2"/>
      </c:valAx>
      <c:valAx>
        <c:axId val="1414762736"/>
        <c:scaling>
          <c:orientation val="minMax"/>
          <c:max val="6"/>
          <c:min val="0"/>
        </c:scaling>
        <c:delete val="0"/>
        <c:axPos val="l"/>
        <c:numFmt formatCode="0" sourceLinked="0"/>
        <c:majorTickMark val="in"/>
        <c:minorTickMark val="in"/>
        <c:tickLblPos val="none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066979792"/>
        <c:crosses val="autoZero"/>
        <c:crossBetween val="midCat"/>
        <c:majorUnit val="1"/>
        <c:minorUnit val="0.5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89930555555563E-2"/>
          <c:y val="0.10583333333333333"/>
          <c:w val="0.85386180555555558"/>
          <c:h val="0.73259444444444444"/>
        </c:manualLayout>
      </c:layout>
      <c:scatterChart>
        <c:scatterStyle val="lineMarker"/>
        <c:varyColors val="0"/>
        <c:ser>
          <c:idx val="2"/>
          <c:order val="0"/>
          <c:tx>
            <c:strRef>
              <c:f>'Migration 12w'!$T$34</c:f>
              <c:strCache>
                <c:ptCount val="1"/>
                <c:pt idx="0">
                  <c:v>M-PCC35-12w</c:v>
                </c:pt>
              </c:strCache>
            </c:strRef>
          </c:tx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'Migration 12w'!$E$35:$E$42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'Migration 12w'!$T$35:$T$42</c:f>
              <c:numCache>
                <c:formatCode>0.0</c:formatCode>
                <c:ptCount val="8"/>
                <c:pt idx="0">
                  <c:v>3.01133585313179</c:v>
                </c:pt>
                <c:pt idx="1">
                  <c:v>2.4579308005427585</c:v>
                </c:pt>
                <c:pt idx="2">
                  <c:v>1.5439627709707824</c:v>
                </c:pt>
                <c:pt idx="3">
                  <c:v>1.2132538915727329</c:v>
                </c:pt>
                <c:pt idx="4">
                  <c:v>0.91891478913922875</c:v>
                </c:pt>
                <c:pt idx="5">
                  <c:v>0.62513634311512323</c:v>
                </c:pt>
                <c:pt idx="6">
                  <c:v>0.25162549019607827</c:v>
                </c:pt>
                <c:pt idx="7">
                  <c:v>0.13411811722913025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92-49F3-8526-D8C88879C8C5}"/>
            </c:ext>
          </c:extLst>
        </c:ser>
        <c:ser>
          <c:idx val="0"/>
          <c:order val="1"/>
          <c:spPr>
            <a:ln w="63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'Migration 12w'!$E$24:$E$32</c:f>
              <c:numCache>
                <c:formatCode>0</c:formatCode>
                <c:ptCount val="9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24</c:v>
                </c:pt>
                <c:pt idx="8">
                  <c:v>28</c:v>
                </c:pt>
              </c:numCache>
            </c:numRef>
          </c:xVal>
          <c:yVal>
            <c:numRef>
              <c:f>'Migration 12w'!$W$24:$W$32</c:f>
              <c:numCache>
                <c:formatCode>General</c:formatCode>
                <c:ptCount val="9"/>
                <c:pt idx="0">
                  <c:v>3.2976233486899416</c:v>
                </c:pt>
                <c:pt idx="1">
                  <c:v>3.0322474945273554</c:v>
                </c:pt>
                <c:pt idx="2">
                  <c:v>2.357520268181994</c:v>
                </c:pt>
                <c:pt idx="3">
                  <c:v>1.6854265109133542</c:v>
                </c:pt>
                <c:pt idx="4">
                  <c:v>1.2049366285534706</c:v>
                </c:pt>
                <c:pt idx="5">
                  <c:v>0.86142722296731833</c:v>
                </c:pt>
                <c:pt idx="6">
                  <c:v>0.61566962156342053</c:v>
                </c:pt>
                <c:pt idx="7">
                  <c:v>0.25269102901926999</c:v>
                </c:pt>
                <c:pt idx="8">
                  <c:v>3.722213755591291E-4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92-49F3-8526-D8C88879C8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979792"/>
        <c:axId val="1414762736"/>
        <c:extLst/>
      </c:scatterChart>
      <c:valAx>
        <c:axId val="1066979792"/>
        <c:scaling>
          <c:orientation val="minMax"/>
          <c:max val="35"/>
          <c:min val="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414762736"/>
        <c:crosses val="autoZero"/>
        <c:crossBetween val="midCat"/>
        <c:majorUnit val="10"/>
      </c:valAx>
      <c:valAx>
        <c:axId val="1414762736"/>
        <c:scaling>
          <c:orientation val="minMax"/>
          <c:max val="4"/>
          <c:min val="0"/>
        </c:scaling>
        <c:delete val="0"/>
        <c:axPos val="l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066979792"/>
        <c:crosses val="autoZero"/>
        <c:crossBetween val="midCat"/>
        <c:majorUnit val="1"/>
        <c:minorUnit val="0.25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89930555555563E-2"/>
          <c:y val="0.10583333333333333"/>
          <c:w val="0.85386180555555558"/>
          <c:h val="0.73259444444444444"/>
        </c:manualLayout>
      </c:layout>
      <c:scatterChart>
        <c:scatterStyle val="lineMarker"/>
        <c:varyColors val="0"/>
        <c:ser>
          <c:idx val="2"/>
          <c:order val="0"/>
          <c:tx>
            <c:strRef>
              <c:f>'Diffusion 12w'!$T$34</c:f>
              <c:strCache>
                <c:ptCount val="1"/>
                <c:pt idx="0">
                  <c:v>D-PCC35-12w</c:v>
                </c:pt>
              </c:strCache>
            </c:strRef>
          </c:tx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'Diffusion 12w'!$E$35:$E$42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'Diffusion 12w'!$T$35:$T$42</c:f>
              <c:numCache>
                <c:formatCode>0.0</c:formatCode>
                <c:ptCount val="8"/>
                <c:pt idx="0">
                  <c:v>3.206765294117615</c:v>
                </c:pt>
                <c:pt idx="1">
                  <c:v>1.9614024585782912</c:v>
                </c:pt>
                <c:pt idx="2">
                  <c:v>0.9409486703772475</c:v>
                </c:pt>
                <c:pt idx="3">
                  <c:v>0.27744330752212287</c:v>
                </c:pt>
                <c:pt idx="4">
                  <c:v>2.6689034369885446E-2</c:v>
                </c:pt>
                <c:pt idx="5">
                  <c:v>-3.662190082644636E-3</c:v>
                </c:pt>
                <c:pt idx="6">
                  <c:v>2.562650602409661E-2</c:v>
                </c:pt>
                <c:pt idx="7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B7-4137-84A4-2B8165174F43}"/>
            </c:ext>
          </c:extLst>
        </c:ser>
        <c:ser>
          <c:idx val="0"/>
          <c:order val="1"/>
          <c:tx>
            <c:v>fit-no-binding</c:v>
          </c:tx>
          <c:spPr>
            <a:ln w="63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'Diffusion 12w'!$E$34:$E$42</c:f>
              <c:numCache>
                <c:formatCode>0</c:formatCode>
                <c:ptCount val="9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24</c:v>
                </c:pt>
                <c:pt idx="8">
                  <c:v>28</c:v>
                </c:pt>
              </c:numCache>
            </c:numRef>
          </c:xVal>
          <c:yVal>
            <c:numRef>
              <c:f>'Diffusion 12w'!$V$34:$V$42</c:f>
              <c:numCache>
                <c:formatCode>0.00</c:formatCode>
                <c:ptCount val="9"/>
                <c:pt idx="0">
                  <c:v>3.4626523554245399</c:v>
                </c:pt>
                <c:pt idx="1">
                  <c:v>3.0725735342090643</c:v>
                </c:pt>
                <c:pt idx="2">
                  <c:v>1.977010861956263</c:v>
                </c:pt>
                <c:pt idx="3">
                  <c:v>0.89021057070007981</c:v>
                </c:pt>
                <c:pt idx="4">
                  <c:v>0.30866412178462621</c:v>
                </c:pt>
                <c:pt idx="5">
                  <c:v>8.1077799216474844E-2</c:v>
                </c:pt>
                <c:pt idx="6">
                  <c:v>1.5955252984994228E-2</c:v>
                </c:pt>
                <c:pt idx="7">
                  <c:v>2.3342475547130093E-3</c:v>
                </c:pt>
                <c:pt idx="8">
                  <c:v>2.5250642217944375E-4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DB7-4137-84A4-2B8165174F43}"/>
            </c:ext>
          </c:extLst>
        </c:ser>
        <c:ser>
          <c:idx val="1"/>
          <c:order val="2"/>
          <c:tx>
            <c:v>fit-binding</c:v>
          </c:tx>
          <c:spPr>
            <a:ln w="63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'Diffusion 12w'!$E$34:$E$41</c:f>
              <c:numCache>
                <c:formatCode>0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24</c:v>
                </c:pt>
              </c:numCache>
            </c:numRef>
          </c:xVal>
          <c:yVal>
            <c:numRef>
              <c:f>'Diffusion 12w'!$Y$34:$Y$41</c:f>
              <c:numCache>
                <c:formatCode>0.00</c:formatCode>
                <c:ptCount val="8"/>
                <c:pt idx="0" formatCode="General">
                  <c:v>2.96</c:v>
                </c:pt>
                <c:pt idx="1">
                  <c:v>2.71</c:v>
                </c:pt>
                <c:pt idx="2">
                  <c:v>1.95</c:v>
                </c:pt>
                <c:pt idx="3">
                  <c:v>1.03</c:v>
                </c:pt>
                <c:pt idx="4">
                  <c:v>0.3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BF-487C-BFEB-F7568560F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979792"/>
        <c:axId val="1414762736"/>
        <c:extLst/>
      </c:scatterChart>
      <c:valAx>
        <c:axId val="1066979792"/>
        <c:scaling>
          <c:orientation val="minMax"/>
          <c:max val="35"/>
          <c:min val="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414762736"/>
        <c:crosses val="autoZero"/>
        <c:crossBetween val="midCat"/>
        <c:majorUnit val="10"/>
      </c:valAx>
      <c:valAx>
        <c:axId val="1414762736"/>
        <c:scaling>
          <c:orientation val="minMax"/>
          <c:max val="4"/>
          <c:min val="0"/>
        </c:scaling>
        <c:delete val="0"/>
        <c:axPos val="l"/>
        <c:numFmt formatCode="0" sourceLinked="0"/>
        <c:majorTickMark val="in"/>
        <c:minorTickMark val="in"/>
        <c:tickLblPos val="none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066979792"/>
        <c:crosses val="autoZero"/>
        <c:crossBetween val="midCat"/>
        <c:majorUnit val="1"/>
        <c:minorUnit val="0.25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'Migration 4w'!$E$15:$E$22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'Migration 4w'!$R$15:$R$22</c:f>
              <c:numCache>
                <c:formatCode>0.0</c:formatCode>
                <c:ptCount val="8"/>
                <c:pt idx="0">
                  <c:v>2.9906244991413855</c:v>
                </c:pt>
                <c:pt idx="1">
                  <c:v>2.2537514245014307</c:v>
                </c:pt>
                <c:pt idx="2">
                  <c:v>1.8442084779375223</c:v>
                </c:pt>
                <c:pt idx="3">
                  <c:v>1.2519028089887636</c:v>
                </c:pt>
                <c:pt idx="4">
                  <c:v>0.21137107396150065</c:v>
                </c:pt>
                <c:pt idx="5">
                  <c:v>4.8357817418677701E-2</c:v>
                </c:pt>
                <c:pt idx="6">
                  <c:v>4.3961741424802109E-2</c:v>
                </c:pt>
                <c:pt idx="7">
                  <c:v>4.4785233015160276E-2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EA-4B46-A997-0AAF2D15E7E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'Migration 4w'!$E$5:$E$12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'Migration 4w'!$R$5:$R$12</c:f>
              <c:numCache>
                <c:formatCode>0.0</c:formatCode>
                <c:ptCount val="8"/>
                <c:pt idx="0">
                  <c:v>3.1789150326797375</c:v>
                </c:pt>
                <c:pt idx="1">
                  <c:v>2.4971954198473245</c:v>
                </c:pt>
                <c:pt idx="2">
                  <c:v>1.9254432324131832</c:v>
                </c:pt>
                <c:pt idx="3">
                  <c:v>1.5170274218349507</c:v>
                </c:pt>
                <c:pt idx="4">
                  <c:v>0.90183640081799499</c:v>
                </c:pt>
                <c:pt idx="5">
                  <c:v>7.2598403006105983E-2</c:v>
                </c:pt>
                <c:pt idx="6">
                  <c:v>3.0029568460309103E-2</c:v>
                </c:pt>
                <c:pt idx="7">
                  <c:v>4.7645075206210703E-2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EA-4B46-A997-0AAF2D15E7E5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'Migration 4w'!$E$4:$E$12</c:f>
              <c:numCache>
                <c:formatCode>0</c:formatCode>
                <c:ptCount val="9"/>
                <c:pt idx="1">
                  <c:v>1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24</c:v>
                </c:pt>
                <c:pt idx="8">
                  <c:v>28</c:v>
                </c:pt>
              </c:numCache>
            </c:numRef>
          </c:xVal>
          <c:yVal>
            <c:numRef>
              <c:f>'Migration 4w'!$AB$4:$AB$12</c:f>
              <c:numCache>
                <c:formatCode>General</c:formatCode>
                <c:ptCount val="9"/>
                <c:pt idx="0">
                  <c:v>3.3640645924549668</c:v>
                </c:pt>
                <c:pt idx="1">
                  <c:v>3.140729669162345</c:v>
                </c:pt>
                <c:pt idx="2">
                  <c:v>2.5558140347620859</c:v>
                </c:pt>
                <c:pt idx="3">
                  <c:v>1.9417537922763153</c:v>
                </c:pt>
                <c:pt idx="4">
                  <c:v>1.473966230369167</c:v>
                </c:pt>
                <c:pt idx="5">
                  <c:v>0.90420817988133206</c:v>
                </c:pt>
                <c:pt idx="6">
                  <c:v>6.8714063824248856E-2</c:v>
                </c:pt>
                <c:pt idx="7">
                  <c:v>8.0149074753004142E-5</c:v>
                </c:pt>
                <c:pt idx="8">
                  <c:v>7.5709672223083319E-10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A2-4E29-9502-90FFBAEAC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8577615"/>
        <c:axId val="318158879"/>
      </c:scatterChart>
      <c:valAx>
        <c:axId val="848577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158879"/>
        <c:crosses val="autoZero"/>
        <c:crossBetween val="midCat"/>
      </c:valAx>
      <c:valAx>
        <c:axId val="318158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48577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'Migration 4w'!$E$36:$E$44</c:f>
              <c:numCache>
                <c:formatCode>0</c:formatCode>
                <c:ptCount val="9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</c:numCache>
            </c:numRef>
          </c:xVal>
          <c:yVal>
            <c:numRef>
              <c:f>'Migration 4w'!$R$36:$R$44</c:f>
              <c:numCache>
                <c:formatCode>0.0</c:formatCode>
                <c:ptCount val="9"/>
                <c:pt idx="0">
                  <c:v>3.0141046287367641</c:v>
                </c:pt>
                <c:pt idx="1">
                  <c:v>2.5261555242786908</c:v>
                </c:pt>
                <c:pt idx="2">
                  <c:v>1.8659393008974929</c:v>
                </c:pt>
                <c:pt idx="3">
                  <c:v>1.5078704328274344</c:v>
                </c:pt>
                <c:pt idx="4">
                  <c:v>1.1898971807628569</c:v>
                </c:pt>
                <c:pt idx="5">
                  <c:v>0.92565180327868524</c:v>
                </c:pt>
                <c:pt idx="6">
                  <c:v>0.69804019111860749</c:v>
                </c:pt>
                <c:pt idx="7">
                  <c:v>0.24146381886087817</c:v>
                </c:pt>
                <c:pt idx="8">
                  <c:v>5.069129603060718E-2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AB-47BF-8CCA-E2B1992A6C1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'Migration 4w'!$E$25:$E$33</c:f>
              <c:numCache>
                <c:formatCode>0</c:formatCode>
                <c:ptCount val="9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</c:numCache>
            </c:numRef>
          </c:xVal>
          <c:yVal>
            <c:numRef>
              <c:f>'Migration 4w'!$R$25:$R$33</c:f>
              <c:numCache>
                <c:formatCode>0.0</c:formatCode>
                <c:ptCount val="9"/>
                <c:pt idx="0">
                  <c:v>2.9764211873080746</c:v>
                </c:pt>
                <c:pt idx="1">
                  <c:v>2.3910663265306034</c:v>
                </c:pt>
                <c:pt idx="2">
                  <c:v>1.7971894950667453</c:v>
                </c:pt>
                <c:pt idx="3">
                  <c:v>1.4241120689655171</c:v>
                </c:pt>
                <c:pt idx="4">
                  <c:v>1.2324216036772229</c:v>
                </c:pt>
                <c:pt idx="5">
                  <c:v>1.0045771319934773</c:v>
                </c:pt>
                <c:pt idx="6">
                  <c:v>0.78008179487179963</c:v>
                </c:pt>
                <c:pt idx="7">
                  <c:v>0.42030650235972816</c:v>
                </c:pt>
                <c:pt idx="8">
                  <c:v>0.1453427290198584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AB-47BF-8CCA-E2B1992A6C1C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'Migration 4w'!$E$35:$E$44</c:f>
              <c:numCache>
                <c:formatCode>0</c:formatCode>
                <c:ptCount val="10"/>
                <c:pt idx="1">
                  <c:v>1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24</c:v>
                </c:pt>
                <c:pt idx="8">
                  <c:v>28</c:v>
                </c:pt>
                <c:pt idx="9">
                  <c:v>32</c:v>
                </c:pt>
              </c:numCache>
            </c:numRef>
          </c:xVal>
          <c:yVal>
            <c:numRef>
              <c:f>'Migration 4w'!$AB$24:$AB$33</c:f>
              <c:numCache>
                <c:formatCode>General</c:formatCode>
                <c:ptCount val="10"/>
                <c:pt idx="0">
                  <c:v>3.2080531424091605</c:v>
                </c:pt>
                <c:pt idx="1">
                  <c:v>3.0118275616086785</c:v>
                </c:pt>
                <c:pt idx="2">
                  <c:v>2.4922737962633352</c:v>
                </c:pt>
                <c:pt idx="3">
                  <c:v>1.9361988096232852</c:v>
                </c:pt>
                <c:pt idx="4">
                  <c:v>1.5041950190253168</c:v>
                </c:pt>
                <c:pt idx="5">
                  <c:v>1.1685797160988756</c:v>
                </c:pt>
                <c:pt idx="6">
                  <c:v>0.90784657899822041</c:v>
                </c:pt>
                <c:pt idx="7">
                  <c:v>0.70051248066697369</c:v>
                </c:pt>
                <c:pt idx="8">
                  <c:v>0.24217167178163615</c:v>
                </c:pt>
                <c:pt idx="9">
                  <c:v>1.1387350680295044E-3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C-4405-8D54-A59236985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8577615"/>
        <c:axId val="318158879"/>
      </c:scatterChart>
      <c:valAx>
        <c:axId val="848577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158879"/>
        <c:crosses val="autoZero"/>
        <c:crossBetween val="midCat"/>
      </c:valAx>
      <c:valAx>
        <c:axId val="318158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48577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'Migration 4w'!$E$57:$E$64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'Migration 4w'!$R$57:$R$64</c:f>
              <c:numCache>
                <c:formatCode>0.0</c:formatCode>
                <c:ptCount val="8"/>
                <c:pt idx="0">
                  <c:v>2.9718656387665443</c:v>
                </c:pt>
                <c:pt idx="1">
                  <c:v>2.0042075919335791</c:v>
                </c:pt>
                <c:pt idx="2">
                  <c:v>1.4390243687610078</c:v>
                </c:pt>
                <c:pt idx="3">
                  <c:v>1.1358578234704118</c:v>
                </c:pt>
                <c:pt idx="4">
                  <c:v>0.88553719839142675</c:v>
                </c:pt>
                <c:pt idx="5">
                  <c:v>0.65741101278269232</c:v>
                </c:pt>
                <c:pt idx="6">
                  <c:v>0.38299817295980604</c:v>
                </c:pt>
                <c:pt idx="7">
                  <c:v>0.12670174346201793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37-4FF0-8504-907EB0E7E48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'Migration 4w'!$E$47:$E$54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'Migration 4w'!$R$47:$R$54</c:f>
              <c:numCache>
                <c:formatCode>0.0</c:formatCode>
                <c:ptCount val="8"/>
                <c:pt idx="0">
                  <c:v>3.248572127139373</c:v>
                </c:pt>
                <c:pt idx="1">
                  <c:v>2.1462409539473537</c:v>
                </c:pt>
                <c:pt idx="2">
                  <c:v>1.3568977386934711</c:v>
                </c:pt>
                <c:pt idx="3">
                  <c:v>1.13979795021962</c:v>
                </c:pt>
                <c:pt idx="4">
                  <c:v>0.89324243119266367</c:v>
                </c:pt>
                <c:pt idx="5">
                  <c:v>0.64577828663792813</c:v>
                </c:pt>
                <c:pt idx="6">
                  <c:v>0.31637120794263618</c:v>
                </c:pt>
                <c:pt idx="7">
                  <c:v>0.14175170299727488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37-4FF0-8504-907EB0E7E48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'Migration 4w'!$E$46:$E$54</c:f>
              <c:numCache>
                <c:formatCode>0</c:formatCode>
                <c:ptCount val="9"/>
                <c:pt idx="1">
                  <c:v>1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  <c:pt idx="7">
                  <c:v>24</c:v>
                </c:pt>
                <c:pt idx="8">
                  <c:v>28</c:v>
                </c:pt>
              </c:numCache>
            </c:numRef>
          </c:xVal>
          <c:yVal>
            <c:numRef>
              <c:f>'Migration 4w'!$AB$46:$AB$54</c:f>
              <c:numCache>
                <c:formatCode>General</c:formatCode>
                <c:ptCount val="9"/>
                <c:pt idx="0">
                  <c:v>3.0746090429497785</c:v>
                </c:pt>
                <c:pt idx="1">
                  <c:v>2.823507487131466</c:v>
                </c:pt>
                <c:pt idx="2">
                  <c:v>2.1866842367946342</c:v>
                </c:pt>
                <c:pt idx="3">
                  <c:v>1.5551856787810261</c:v>
                </c:pt>
                <c:pt idx="4">
                  <c:v>1.1060593270800463</c:v>
                </c:pt>
                <c:pt idx="5">
                  <c:v>0.78663741038281099</c:v>
                </c:pt>
                <c:pt idx="6">
                  <c:v>0.55946213133111078</c:v>
                </c:pt>
                <c:pt idx="7">
                  <c:v>0.39527112461951602</c:v>
                </c:pt>
                <c:pt idx="8">
                  <c:v>0.1259455086315491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5E-44E4-932E-07D139A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8577615"/>
        <c:axId val="318158879"/>
      </c:scatterChart>
      <c:valAx>
        <c:axId val="848577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158879"/>
        <c:crosses val="autoZero"/>
        <c:crossBetween val="midCat"/>
      </c:valAx>
      <c:valAx>
        <c:axId val="318158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48577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195833333333325E-2"/>
          <c:y val="8.2314814814814813E-2"/>
          <c:w val="0.87429722222222217"/>
          <c:h val="0.83826450617283954"/>
        </c:manualLayout>
      </c:layout>
      <c:barChart>
        <c:barDir val="col"/>
        <c:grouping val="clustered"/>
        <c:varyColors val="0"/>
        <c:ser>
          <c:idx val="2"/>
          <c:order val="0"/>
          <c:tx>
            <c:v>12w no binding</c:v>
          </c:tx>
          <c:spPr>
            <a:pattFill prst="wdDnDiag">
              <a:fgClr>
                <a:srgbClr val="979797"/>
              </a:fgClr>
              <a:bgClr>
                <a:schemeClr val="bg1"/>
              </a:bgClr>
            </a:pattFill>
            <a:ln w="6350">
              <a:solidFill>
                <a:schemeClr val="tx1"/>
              </a:solidFill>
            </a:ln>
            <a:effectLst/>
          </c:spPr>
          <c:invertIfNegative val="0"/>
          <c:val>
            <c:numRef>
              <c:f>Graphs!$V$2:$V$4</c:f>
              <c:numCache>
                <c:formatCode>General</c:formatCode>
                <c:ptCount val="3"/>
                <c:pt idx="0">
                  <c:v>6.8</c:v>
                </c:pt>
                <c:pt idx="1">
                  <c:v>4.5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62-4813-90F2-FBCE2B381EB2}"/>
            </c:ext>
          </c:extLst>
        </c:ser>
        <c:ser>
          <c:idx val="0"/>
          <c:order val="1"/>
          <c:tx>
            <c:v>12w binding</c:v>
          </c:tx>
          <c:spPr>
            <a:solidFill>
              <a:srgbClr val="979797"/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Graphs!$S$2:$S$4</c:f>
              <c:strCache>
                <c:ptCount val="3"/>
                <c:pt idx="0">
                  <c:v>PC</c:v>
                </c:pt>
                <c:pt idx="1">
                  <c:v>PCC35</c:v>
                </c:pt>
                <c:pt idx="2">
                  <c:v>PCC50</c:v>
                </c:pt>
              </c:strCache>
            </c:strRef>
          </c:cat>
          <c:val>
            <c:numRef>
              <c:f>Graphs!$T$2:$T$4</c:f>
              <c:numCache>
                <c:formatCode>General</c:formatCode>
                <c:ptCount val="3"/>
                <c:pt idx="0">
                  <c:v>17</c:v>
                </c:pt>
                <c:pt idx="1">
                  <c:v>11</c:v>
                </c:pt>
                <c:pt idx="2">
                  <c:v>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5-48C2-9E64-3CE518F6C95A}"/>
            </c:ext>
          </c:extLst>
        </c:ser>
        <c:ser>
          <c:idx val="3"/>
          <c:order val="2"/>
          <c:tx>
            <c:v>30w no binding</c:v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 w="6350">
              <a:solidFill>
                <a:schemeClr val="tx1"/>
              </a:solidFill>
            </a:ln>
            <a:effectLst/>
          </c:spPr>
          <c:invertIfNegative val="0"/>
          <c:val>
            <c:numRef>
              <c:f>Graphs!$W$2:$W$4</c:f>
              <c:numCache>
                <c:formatCode>General</c:formatCode>
                <c:ptCount val="3"/>
                <c:pt idx="0">
                  <c:v>7.8</c:v>
                </c:pt>
                <c:pt idx="1">
                  <c:v>4</c:v>
                </c:pt>
                <c:pt idx="2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62-4813-90F2-FBCE2B381EB2}"/>
            </c:ext>
          </c:extLst>
        </c:ser>
        <c:ser>
          <c:idx val="1"/>
          <c:order val="3"/>
          <c:tx>
            <c:v>30w binding</c:v>
          </c:tx>
          <c:spPr>
            <a:solidFill>
              <a:schemeClr val="tx1"/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Graphs!$S$2:$S$4</c:f>
              <c:strCache>
                <c:ptCount val="3"/>
                <c:pt idx="0">
                  <c:v>PC</c:v>
                </c:pt>
                <c:pt idx="1">
                  <c:v>PCC35</c:v>
                </c:pt>
                <c:pt idx="2">
                  <c:v>PCC50</c:v>
                </c:pt>
              </c:strCache>
            </c:strRef>
          </c:cat>
          <c:val>
            <c:numRef>
              <c:f>Graphs!$U$2:$U$4</c:f>
              <c:numCache>
                <c:formatCode>General</c:formatCode>
                <c:ptCount val="3"/>
                <c:pt idx="0">
                  <c:v>19</c:v>
                </c:pt>
                <c:pt idx="1">
                  <c:v>8.1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C5-48C2-9E64-3CE518F6C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8796191"/>
        <c:axId val="1190240671"/>
      </c:barChart>
      <c:catAx>
        <c:axId val="1238796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190240671"/>
        <c:crosses val="autoZero"/>
        <c:auto val="1"/>
        <c:lblAlgn val="ctr"/>
        <c:lblOffset val="100"/>
        <c:noMultiLvlLbl val="0"/>
      </c:catAx>
      <c:valAx>
        <c:axId val="1190240671"/>
        <c:scaling>
          <c:orientation val="minMax"/>
          <c:max val="20"/>
        </c:scaling>
        <c:delete val="0"/>
        <c:axPos val="l"/>
        <c:numFmt formatCode="0" sourceLinked="0"/>
        <c:majorTickMark val="in"/>
        <c:minorTickMark val="in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238796191"/>
        <c:crosses val="autoZero"/>
        <c:crossBetween val="between"/>
        <c:majorUnit val="5"/>
        <c:minorUnit val="1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3434037422545098"/>
          <c:y val="9.5034735322870892E-2"/>
          <c:w val="0.30048040217122263"/>
          <c:h val="0.26348574029942418"/>
        </c:manualLayout>
      </c:layout>
      <c:overlay val="0"/>
      <c:spPr>
        <a:noFill/>
        <a:ln w="63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208661417322837E-2"/>
          <c:y val="6.7023359999123067E-2"/>
          <c:w val="0.87823490813648297"/>
          <c:h val="0.83121764333704096"/>
        </c:manualLayout>
      </c:layout>
      <c:barChart>
        <c:barDir val="col"/>
        <c:grouping val="clustered"/>
        <c:varyColors val="0"/>
        <c:ser>
          <c:idx val="0"/>
          <c:order val="0"/>
          <c:tx>
            <c:v>4w no binding</c:v>
          </c:tx>
          <c:spPr>
            <a:pattFill prst="wdDnDiag">
              <a:fgClr>
                <a:schemeClr val="bg1">
                  <a:lumMod val="85000"/>
                </a:schemeClr>
              </a:fgClr>
              <a:bgClr>
                <a:schemeClr val="bg1"/>
              </a:bgClr>
            </a:pattFill>
            <a:ln w="6350">
              <a:solidFill>
                <a:schemeClr val="tx1"/>
              </a:solidFill>
            </a:ln>
            <a:effectLst/>
          </c:spPr>
          <c:invertIfNegative val="0"/>
          <c:cat>
            <c:strLit>
              <c:ptCount val="3"/>
              <c:pt idx="0">
                <c:v>PC</c:v>
              </c:pt>
              <c:pt idx="1">
                <c:v>PCC35</c:v>
              </c:pt>
              <c:pt idx="2">
                <c:v>PCC50</c:v>
              </c:pt>
            </c:strLit>
          </c:cat>
          <c:val>
            <c:numLit>
              <c:formatCode>General</c:formatCode>
              <c:ptCount val="3"/>
              <c:pt idx="0">
                <c:v>19.246606046632252</c:v>
              </c:pt>
              <c:pt idx="1">
                <c:v>13.884582181852116</c:v>
              </c:pt>
              <c:pt idx="2">
                <c:v>12.636680022765699</c:v>
              </c:pt>
            </c:numLit>
          </c:val>
          <c:extLst>
            <c:ext xmlns:c16="http://schemas.microsoft.com/office/drawing/2014/chart" uri="{C3380CC4-5D6E-409C-BE32-E72D297353CC}">
              <c16:uniqueId val="{00000000-676F-46F2-82B9-6771BD8CAD3C}"/>
            </c:ext>
          </c:extLst>
        </c:ser>
        <c:ser>
          <c:idx val="2"/>
          <c:order val="1"/>
          <c:tx>
            <c:v>4w binding</c:v>
          </c:tx>
          <c:spPr>
            <a:solidFill>
              <a:schemeClr val="bg1">
                <a:lumMod val="85000"/>
              </a:schemeClr>
            </a:solidFill>
            <a:ln w="6350">
              <a:solidFill>
                <a:schemeClr val="tx1"/>
              </a:solidFill>
            </a:ln>
            <a:effectLst/>
          </c:spPr>
          <c:invertIfNegative val="0"/>
          <c:val>
            <c:numRef>
              <c:f>('Migration 4w'!$AG$10,'Migration 4w'!$AG$30,'Migration 4w'!$AG$52)</c:f>
              <c:numCache>
                <c:formatCode>0.0</c:formatCode>
                <c:ptCount val="3"/>
                <c:pt idx="0">
                  <c:v>18.159216290422165</c:v>
                </c:pt>
                <c:pt idx="1">
                  <c:v>13.573618154558098</c:v>
                </c:pt>
                <c:pt idx="2">
                  <c:v>13.554260492233379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A4-4D47-83B1-CE07B5E724BD}"/>
            </c:ext>
          </c:extLst>
        </c:ser>
        <c:ser>
          <c:idx val="1"/>
          <c:order val="2"/>
          <c:tx>
            <c:v>12w no binding</c:v>
          </c:tx>
          <c:spPr>
            <a:pattFill prst="wdDnDiag">
              <a:fgClr>
                <a:srgbClr val="979797"/>
              </a:fgClr>
              <a:bgClr>
                <a:schemeClr val="bg1"/>
              </a:bgClr>
            </a:pattFill>
            <a:ln w="6350">
              <a:solidFill>
                <a:schemeClr val="tx1"/>
              </a:solidFill>
            </a:ln>
            <a:effectLst/>
          </c:spPr>
          <c:invertIfNegative val="0"/>
          <c:cat>
            <c:strLit>
              <c:ptCount val="3"/>
              <c:pt idx="0">
                <c:v>PC</c:v>
              </c:pt>
              <c:pt idx="1">
                <c:v>PCC35</c:v>
              </c:pt>
              <c:pt idx="2">
                <c:v>PCC50</c:v>
              </c:pt>
            </c:strLit>
          </c:cat>
          <c:val>
            <c:numLit>
              <c:formatCode>General</c:formatCode>
              <c:ptCount val="3"/>
              <c:pt idx="0">
                <c:v>13.007961777163459</c:v>
              </c:pt>
              <c:pt idx="1">
                <c:v>8.2799359795105989</c:v>
              </c:pt>
              <c:pt idx="2">
                <c:v>4.7572337185580498</c:v>
              </c:pt>
            </c:numLit>
          </c:val>
          <c:extLst>
            <c:ext xmlns:c16="http://schemas.microsoft.com/office/drawing/2014/chart" uri="{C3380CC4-5D6E-409C-BE32-E72D297353CC}">
              <c16:uniqueId val="{00000001-676F-46F2-82B9-6771BD8CAD3C}"/>
            </c:ext>
          </c:extLst>
        </c:ser>
        <c:ser>
          <c:idx val="3"/>
          <c:order val="3"/>
          <c:tx>
            <c:v>12w binding</c:v>
          </c:tx>
          <c:spPr>
            <a:solidFill>
              <a:srgbClr val="979797"/>
            </a:solidFill>
            <a:ln w="6350">
              <a:solidFill>
                <a:schemeClr val="tx1"/>
              </a:solidFill>
            </a:ln>
            <a:effectLst/>
          </c:spPr>
          <c:invertIfNegative val="0"/>
          <c:val>
            <c:numRef>
              <c:f>('Migration 12w'!$AB$10,'Migration 12w'!$AB$30,'Migration 12w'!$AB$50)</c:f>
              <c:numCache>
                <c:formatCode>0.0</c:formatCode>
                <c:ptCount val="3"/>
                <c:pt idx="0">
                  <c:v>16.014333917422356</c:v>
                </c:pt>
                <c:pt idx="1">
                  <c:v>8.8943932695125678</c:v>
                </c:pt>
                <c:pt idx="2">
                  <c:v>7.3323772622699472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A4-4D47-83B1-CE07B5E72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7801232"/>
        <c:axId val="902773040"/>
      </c:barChart>
      <c:catAx>
        <c:axId val="90780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902773040"/>
        <c:crosses val="autoZero"/>
        <c:auto val="1"/>
        <c:lblAlgn val="ctr"/>
        <c:lblOffset val="100"/>
        <c:noMultiLvlLbl val="0"/>
      </c:catAx>
      <c:valAx>
        <c:axId val="902773040"/>
        <c:scaling>
          <c:orientation val="minMax"/>
          <c:max val="20"/>
        </c:scaling>
        <c:delete val="0"/>
        <c:axPos val="l"/>
        <c:numFmt formatCode="0" sourceLinked="0"/>
        <c:majorTickMark val="in"/>
        <c:minorTickMark val="in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907801232"/>
        <c:crosses val="autoZero"/>
        <c:crossBetween val="between"/>
        <c:majorUnit val="5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4942218400927509"/>
          <c:y val="7.7827850900463805E-2"/>
          <c:w val="0.30210830643955566"/>
          <c:h val="0.24128676946066599"/>
        </c:manualLayout>
      </c:layout>
      <c:overlay val="0"/>
      <c:spPr>
        <a:noFill/>
        <a:ln w="63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89930555555563E-2"/>
          <c:y val="0.10583333333333333"/>
          <c:w val="0.85386180555555558"/>
          <c:h val="0.732594444444444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'Diffusion 12w'!$T$14</c:f>
              <c:strCache>
                <c:ptCount val="1"/>
                <c:pt idx="0">
                  <c:v>D-PC-12w</c:v>
                </c:pt>
              </c:strCache>
            </c:strRef>
          </c:tx>
          <c:spPr>
            <a:ln w="63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'Diffusion 12w'!$E$15:$E$22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'Diffusion 12w'!$T$15:$T$22</c:f>
              <c:numCache>
                <c:formatCode>0.0</c:formatCode>
                <c:ptCount val="8"/>
                <c:pt idx="0">
                  <c:v>4.7321830466830042</c:v>
                </c:pt>
                <c:pt idx="1">
                  <c:v>2.5939255205552527</c:v>
                </c:pt>
                <c:pt idx="2">
                  <c:v>1.5404417750141401</c:v>
                </c:pt>
                <c:pt idx="3">
                  <c:v>0.83182945945945574</c:v>
                </c:pt>
                <c:pt idx="4">
                  <c:v>0.1216377181779479</c:v>
                </c:pt>
                <c:pt idx="5">
                  <c:v>2.5214699683877788E-2</c:v>
                </c:pt>
                <c:pt idx="6">
                  <c:v>-1.962177121771231E-2</c:v>
                </c:pt>
                <c:pt idx="7">
                  <c:v>3.438367096378165E-2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A7-4E7D-BAE6-E8B8F277044B}"/>
            </c:ext>
          </c:extLst>
        </c:ser>
        <c:ser>
          <c:idx val="2"/>
          <c:order val="2"/>
          <c:tx>
            <c:strRef>
              <c:f>'Diffusion 30w'!$T$14</c:f>
              <c:strCache>
                <c:ptCount val="1"/>
                <c:pt idx="0">
                  <c:v>D-PC-30w</c:v>
                </c:pt>
              </c:strCache>
            </c:strRef>
          </c:tx>
          <c:spPr>
            <a:ln w="63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'Diffusion 30w'!$E$15:$E$22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'Diffusion 30w'!$T$15:$T$22</c:f>
              <c:numCache>
                <c:formatCode>0.0</c:formatCode>
                <c:ptCount val="8"/>
                <c:pt idx="0">
                  <c:v>5.7515952830190109</c:v>
                </c:pt>
                <c:pt idx="1">
                  <c:v>3.326895067264569</c:v>
                </c:pt>
                <c:pt idx="2">
                  <c:v>2.3542194148936226</c:v>
                </c:pt>
                <c:pt idx="3">
                  <c:v>1.7218285310734363</c:v>
                </c:pt>
                <c:pt idx="4">
                  <c:v>1.3437344936708875</c:v>
                </c:pt>
                <c:pt idx="5">
                  <c:v>0.91642470238095641</c:v>
                </c:pt>
                <c:pt idx="6">
                  <c:v>0.51086608910891207</c:v>
                </c:pt>
                <c:pt idx="7">
                  <c:v>8.6422485207099956E-2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A7-4E7D-BAE6-E8B8F277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979792"/>
        <c:axId val="141476273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'Diffusion 12w'!$T$14</c15:sqref>
                        </c15:formulaRef>
                      </c:ext>
                    </c:extLst>
                    <c:strCache>
                      <c:ptCount val="1"/>
                      <c:pt idx="0">
                        <c:v>D-PC-12w</c:v>
                      </c:pt>
                    </c:strCache>
                  </c:strRef>
                </c:tx>
                <c:spPr>
                  <a:ln w="6350" cap="rnd">
                    <a:solidFill>
                      <a:schemeClr val="bg1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'Diffusion 12w'!$E$15:$E$22</c15:sqref>
                        </c15:formulaRef>
                      </c:ext>
                    </c:extLst>
                    <c:numCache>
                      <c:formatCode>0</c:formatCode>
                      <c:ptCount val="8"/>
                      <c:pt idx="0">
                        <c:v>1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'Diffusion 12w'!$T$15:$T$22</c15:sqref>
                        </c15:formulaRef>
                      </c:ext>
                    </c:extLst>
                    <c:numCache>
                      <c:formatCode>0.0</c:formatCode>
                      <c:ptCount val="8"/>
                      <c:pt idx="0">
                        <c:v>4.7321830466830042</c:v>
                      </c:pt>
                      <c:pt idx="1">
                        <c:v>2.5939255205552527</c:v>
                      </c:pt>
                      <c:pt idx="2">
                        <c:v>1.5404417750141401</c:v>
                      </c:pt>
                      <c:pt idx="3">
                        <c:v>0.83182945945945574</c:v>
                      </c:pt>
                      <c:pt idx="4">
                        <c:v>0.1216377181779479</c:v>
                      </c:pt>
                      <c:pt idx="5">
                        <c:v>2.5214699683877788E-2</c:v>
                      </c:pt>
                      <c:pt idx="6">
                        <c:v>-1.962177121771231E-2</c:v>
                      </c:pt>
                      <c:pt idx="7">
                        <c:v>3.438367096378165E-2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BA7-4E7D-BAE6-E8B8F277044B}"/>
                  </c:ext>
                </c:extLst>
              </c15:ser>
            </c15:filteredScatterSeries>
          </c:ext>
        </c:extLst>
      </c:scatterChart>
      <c:valAx>
        <c:axId val="1066979792"/>
        <c:scaling>
          <c:orientation val="minMax"/>
          <c:max val="35"/>
          <c:min val="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414762736"/>
        <c:crosses val="autoZero"/>
        <c:crossBetween val="midCat"/>
        <c:majorUnit val="10"/>
      </c:valAx>
      <c:valAx>
        <c:axId val="1414762736"/>
        <c:scaling>
          <c:orientation val="minMax"/>
          <c:max val="6"/>
          <c:min val="0"/>
        </c:scaling>
        <c:delete val="0"/>
        <c:axPos val="l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066979792"/>
        <c:crosses val="autoZero"/>
        <c:crossBetween val="midCat"/>
        <c:majorUnit val="1"/>
        <c:minorUnit val="0.5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89930555555563E-2"/>
          <c:y val="0.10583333333333333"/>
          <c:w val="0.85386180555555558"/>
          <c:h val="0.732594444444444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'Diffusion 12w'!$T$34</c:f>
              <c:strCache>
                <c:ptCount val="1"/>
                <c:pt idx="0">
                  <c:v>D-PCC35-12w</c:v>
                </c:pt>
              </c:strCache>
            </c:strRef>
          </c:tx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'Diffusion 12w'!$E$35:$E$42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'Diffusion 12w'!$T$35:$T$42</c:f>
              <c:numCache>
                <c:formatCode>0.0</c:formatCode>
                <c:ptCount val="8"/>
                <c:pt idx="0">
                  <c:v>3.206765294117615</c:v>
                </c:pt>
                <c:pt idx="1">
                  <c:v>1.9614024585782912</c:v>
                </c:pt>
                <c:pt idx="2">
                  <c:v>0.9409486703772475</c:v>
                </c:pt>
                <c:pt idx="3">
                  <c:v>0.27744330752212287</c:v>
                </c:pt>
                <c:pt idx="4">
                  <c:v>2.6689034369885446E-2</c:v>
                </c:pt>
                <c:pt idx="5">
                  <c:v>-3.662190082644636E-3</c:v>
                </c:pt>
                <c:pt idx="6">
                  <c:v>2.562650602409661E-2</c:v>
                </c:pt>
                <c:pt idx="7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F0-44A5-93AA-A87841AF47BB}"/>
            </c:ext>
          </c:extLst>
        </c:ser>
        <c:ser>
          <c:idx val="2"/>
          <c:order val="2"/>
          <c:tx>
            <c:strRef>
              <c:f>'Diffusion 30w'!$T$34</c:f>
              <c:strCache>
                <c:ptCount val="1"/>
                <c:pt idx="0">
                  <c:v>D-PCC35-30w</c:v>
                </c:pt>
              </c:strCache>
            </c:strRef>
          </c:tx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'Diffusion 30w'!$E$35:$E$42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'Diffusion 30w'!$T$35:$T$42</c:f>
              <c:numCache>
                <c:formatCode>0.0</c:formatCode>
                <c:ptCount val="8"/>
                <c:pt idx="0">
                  <c:v>3.2558026315789865</c:v>
                </c:pt>
                <c:pt idx="1">
                  <c:v>2.5272419354838864</c:v>
                </c:pt>
                <c:pt idx="2">
                  <c:v>1.5874682926829264</c:v>
                </c:pt>
                <c:pt idx="3">
                  <c:v>1.0597464705882336</c:v>
                </c:pt>
                <c:pt idx="4">
                  <c:v>0.39609739884392975</c:v>
                </c:pt>
                <c:pt idx="5">
                  <c:v>6.3108791208790996E-2</c:v>
                </c:pt>
                <c:pt idx="6">
                  <c:v>2.2988787878787775E-2</c:v>
                </c:pt>
                <c:pt idx="7">
                  <c:v>4.5420312500000372E-2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F0-44A5-93AA-A87841AF4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979792"/>
        <c:axId val="141476273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'Diffusion 12w'!$T$34</c15:sqref>
                        </c15:formulaRef>
                      </c:ext>
                    </c:extLst>
                    <c:strCache>
                      <c:ptCount val="1"/>
                      <c:pt idx="0">
                        <c:v>D-PCC35-12w</c:v>
                      </c:pt>
                    </c:strCache>
                  </c:strRef>
                </c:tx>
                <c:spPr>
                  <a:ln w="63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'Diffusion 12w'!$E$35:$E$42</c15:sqref>
                        </c15:formulaRef>
                      </c:ext>
                    </c:extLst>
                    <c:numCache>
                      <c:formatCode>0</c:formatCode>
                      <c:ptCount val="8"/>
                      <c:pt idx="0">
                        <c:v>1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'Diffusion 12w'!$T$35:$T$42</c15:sqref>
                        </c15:formulaRef>
                      </c:ext>
                    </c:extLst>
                    <c:numCache>
                      <c:formatCode>0.0</c:formatCode>
                      <c:ptCount val="8"/>
                      <c:pt idx="0">
                        <c:v>3.206765294117615</c:v>
                      </c:pt>
                      <c:pt idx="1">
                        <c:v>1.9614024585782912</c:v>
                      </c:pt>
                      <c:pt idx="2">
                        <c:v>0.9409486703772475</c:v>
                      </c:pt>
                      <c:pt idx="3">
                        <c:v>0.27744330752212287</c:v>
                      </c:pt>
                      <c:pt idx="4">
                        <c:v>2.6689034369885446E-2</c:v>
                      </c:pt>
                      <c:pt idx="5">
                        <c:v>-3.662190082644636E-3</c:v>
                      </c:pt>
                      <c:pt idx="6">
                        <c:v>2.562650602409661E-2</c:v>
                      </c:pt>
                      <c:pt idx="7">
                        <c:v>#N/A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77F0-44A5-93AA-A87841AF47BB}"/>
                  </c:ext>
                </c:extLst>
              </c15:ser>
            </c15:filteredScatterSeries>
          </c:ext>
        </c:extLst>
      </c:scatterChart>
      <c:valAx>
        <c:axId val="1066979792"/>
        <c:scaling>
          <c:orientation val="minMax"/>
          <c:max val="35"/>
          <c:min val="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414762736"/>
        <c:crosses val="autoZero"/>
        <c:crossBetween val="midCat"/>
        <c:majorUnit val="10"/>
      </c:valAx>
      <c:valAx>
        <c:axId val="1414762736"/>
        <c:scaling>
          <c:orientation val="minMax"/>
          <c:max val="6"/>
          <c:min val="0"/>
        </c:scaling>
        <c:delete val="0"/>
        <c:axPos val="l"/>
        <c:numFmt formatCode="0" sourceLinked="0"/>
        <c:majorTickMark val="in"/>
        <c:minorTickMark val="in"/>
        <c:tickLblPos val="none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066979792"/>
        <c:crosses val="autoZero"/>
        <c:crossBetween val="midCat"/>
        <c:majorUnit val="1"/>
        <c:minorUnit val="0.5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89930555555563E-2"/>
          <c:y val="0.10583333333333333"/>
          <c:w val="0.85386180555555558"/>
          <c:h val="0.732594444444444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'Diffusion 12w'!$T$54</c:f>
              <c:strCache>
                <c:ptCount val="1"/>
                <c:pt idx="0">
                  <c:v>D-PCC50-12w</c:v>
                </c:pt>
              </c:strCache>
            </c:strRef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'Diffusion 12w'!$E$55:$E$62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'Diffusion 12w'!$T$55:$T$62</c:f>
              <c:numCache>
                <c:formatCode>0.0</c:formatCode>
                <c:ptCount val="8"/>
                <c:pt idx="0">
                  <c:v>3.3513965773809677</c:v>
                </c:pt>
                <c:pt idx="1">
                  <c:v>2.0872289266221942</c:v>
                </c:pt>
                <c:pt idx="2">
                  <c:v>0.94738792293233076</c:v>
                </c:pt>
                <c:pt idx="3">
                  <c:v>0.16281441922563367</c:v>
                </c:pt>
                <c:pt idx="4">
                  <c:v>3.7451730418943702E-2</c:v>
                </c:pt>
                <c:pt idx="5">
                  <c:v>4.3290366350067708E-2</c:v>
                </c:pt>
                <c:pt idx="6">
                  <c:v>5.5840955284553254E-3</c:v>
                </c:pt>
                <c:pt idx="7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F5-4F1D-83BD-D60CF26BFE83}"/>
            </c:ext>
          </c:extLst>
        </c:ser>
        <c:ser>
          <c:idx val="2"/>
          <c:order val="2"/>
          <c:tx>
            <c:strRef>
              <c:f>'Diffusion 30w'!$T$54</c:f>
              <c:strCache>
                <c:ptCount val="1"/>
                <c:pt idx="0">
                  <c:v>D-PCC50-30w</c:v>
                </c:pt>
              </c:strCache>
            </c:strRef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'Diffusion 30w'!$E$55:$E$62</c:f>
              <c:numCache>
                <c:formatCode>0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</c:numCache>
            </c:numRef>
          </c:xVal>
          <c:yVal>
            <c:numRef>
              <c:f>'Diffusion 30w'!$T$55:$T$62</c:f>
              <c:numCache>
                <c:formatCode>0.0</c:formatCode>
                <c:ptCount val="8"/>
                <c:pt idx="0">
                  <c:v>3.4595823809523902</c:v>
                </c:pt>
                <c:pt idx="1">
                  <c:v>2.3466221893490959</c:v>
                </c:pt>
                <c:pt idx="2">
                  <c:v>1.6339622699386407</c:v>
                </c:pt>
                <c:pt idx="3">
                  <c:v>0.76543061224489517</c:v>
                </c:pt>
                <c:pt idx="4">
                  <c:v>0.15000601851851877</c:v>
                </c:pt>
                <c:pt idx="5">
                  <c:v>-3.0975728155340186E-3</c:v>
                </c:pt>
                <c:pt idx="6">
                  <c:v>2.9897590361445583E-2</c:v>
                </c:pt>
                <c:pt idx="7">
                  <c:v>2.2973184357541823E-2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F5-4F1D-83BD-D60CF26BF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979792"/>
        <c:axId val="141476273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'Diffusion 12w'!$T$54</c15:sqref>
                        </c15:formulaRef>
                      </c:ext>
                    </c:extLst>
                    <c:strCache>
                      <c:ptCount val="1"/>
                      <c:pt idx="0">
                        <c:v>D-PCC50-12w</c:v>
                      </c:pt>
                    </c:strCache>
                  </c:strRef>
                </c:tx>
                <c:spPr>
                  <a:ln w="63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'Diffusion 12w'!$E$55:$E$62</c15:sqref>
                        </c15:formulaRef>
                      </c:ext>
                    </c:extLst>
                    <c:numCache>
                      <c:formatCode>0</c:formatCode>
                      <c:ptCount val="8"/>
                      <c:pt idx="0">
                        <c:v>1</c:v>
                      </c:pt>
                      <c:pt idx="1">
                        <c:v>4</c:v>
                      </c:pt>
                      <c:pt idx="2">
                        <c:v>8</c:v>
                      </c:pt>
                      <c:pt idx="3">
                        <c:v>12</c:v>
                      </c:pt>
                      <c:pt idx="4">
                        <c:v>16</c:v>
                      </c:pt>
                      <c:pt idx="5">
                        <c:v>20</c:v>
                      </c:pt>
                      <c:pt idx="6">
                        <c:v>24</c:v>
                      </c:pt>
                      <c:pt idx="7">
                        <c:v>28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'Diffusion 12w'!$T$55:$T$62</c15:sqref>
                        </c15:formulaRef>
                      </c:ext>
                    </c:extLst>
                    <c:numCache>
                      <c:formatCode>0.0</c:formatCode>
                      <c:ptCount val="8"/>
                      <c:pt idx="0">
                        <c:v>3.3513965773809677</c:v>
                      </c:pt>
                      <c:pt idx="1">
                        <c:v>2.0872289266221942</c:v>
                      </c:pt>
                      <c:pt idx="2">
                        <c:v>0.94738792293233076</c:v>
                      </c:pt>
                      <c:pt idx="3">
                        <c:v>0.16281441922563367</c:v>
                      </c:pt>
                      <c:pt idx="4">
                        <c:v>3.7451730418943702E-2</c:v>
                      </c:pt>
                      <c:pt idx="5">
                        <c:v>4.3290366350067708E-2</c:v>
                      </c:pt>
                      <c:pt idx="6">
                        <c:v>5.5840955284553254E-3</c:v>
                      </c:pt>
                      <c:pt idx="7">
                        <c:v>#N/A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7F5-4F1D-83BD-D60CF26BFE83}"/>
                  </c:ext>
                </c:extLst>
              </c15:ser>
            </c15:filteredScatterSeries>
          </c:ext>
        </c:extLst>
      </c:scatterChart>
      <c:valAx>
        <c:axId val="1066979792"/>
        <c:scaling>
          <c:orientation val="minMax"/>
          <c:max val="35"/>
          <c:min val="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414762736"/>
        <c:crosses val="autoZero"/>
        <c:crossBetween val="midCat"/>
        <c:majorUnit val="10"/>
      </c:valAx>
      <c:valAx>
        <c:axId val="1414762736"/>
        <c:scaling>
          <c:orientation val="minMax"/>
          <c:max val="6"/>
          <c:min val="0"/>
        </c:scaling>
        <c:delete val="0"/>
        <c:axPos val="l"/>
        <c:numFmt formatCode="0" sourceLinked="0"/>
        <c:majorTickMark val="in"/>
        <c:minorTickMark val="in"/>
        <c:tickLblPos val="none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066979792"/>
        <c:crosses val="autoZero"/>
        <c:crossBetween val="midCat"/>
        <c:majorUnit val="1"/>
        <c:minorUnit val="0.5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165100</xdr:colOff>
      <xdr:row>10</xdr:row>
      <xdr:rowOff>50800</xdr:rowOff>
    </xdr:from>
    <xdr:to>
      <xdr:col>19</xdr:col>
      <xdr:colOff>203200</xdr:colOff>
      <xdr:row>30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F60EFA-BF89-47EC-ABFB-33764258F8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33618</xdr:colOff>
      <xdr:row>6</xdr:row>
      <xdr:rowOff>23532</xdr:rowOff>
    </xdr:from>
    <xdr:to>
      <xdr:col>26</xdr:col>
      <xdr:colOff>571500</xdr:colOff>
      <xdr:row>19</xdr:row>
      <xdr:rowOff>144556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B27785-ABE0-6B9C-701C-6202B71731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11693</xdr:colOff>
      <xdr:row>22</xdr:row>
      <xdr:rowOff>155908</xdr:rowOff>
    </xdr:from>
    <xdr:to>
      <xdr:col>26</xdr:col>
      <xdr:colOff>549575</xdr:colOff>
      <xdr:row>36</xdr:row>
      <xdr:rowOff>75224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E491A9-8990-470F-B2CB-0C6D240497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59765</xdr:colOff>
      <xdr:row>48</xdr:row>
      <xdr:rowOff>119530</xdr:rowOff>
    </xdr:from>
    <xdr:to>
      <xdr:col>26</xdr:col>
      <xdr:colOff>597647</xdr:colOff>
      <xdr:row>62</xdr:row>
      <xdr:rowOff>35672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502FBC6-737A-4362-A705-02445356E1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494852</xdr:colOff>
      <xdr:row>1</xdr:row>
      <xdr:rowOff>25415</xdr:rowOff>
    </xdr:from>
    <xdr:to>
      <xdr:col>17</xdr:col>
      <xdr:colOff>326475</xdr:colOff>
      <xdr:row>15</xdr:row>
      <xdr:rowOff>183370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823F1ADD-03B9-4351-AE1D-FDF795AA14D2}"/>
            </a:ext>
          </a:extLst>
        </xdr:cNvPr>
        <xdr:cNvGrpSpPr/>
      </xdr:nvGrpSpPr>
      <xdr:grpSpPr>
        <a:xfrm>
          <a:off x="5861982" y="227373"/>
          <a:ext cx="5869645" cy="2934561"/>
          <a:chOff x="5828852" y="223242"/>
          <a:chExt cx="5832373" cy="2927532"/>
        </a:xfrm>
      </xdr:grpSpPr>
      <xdr:grpSp>
        <xdr:nvGrpSpPr>
          <xdr:cNvPr id="16" name="Group 15">
            <a:extLst>
              <a:ext uri="{FF2B5EF4-FFF2-40B4-BE49-F238E27FC236}">
                <a16:creationId xmlns:a16="http://schemas.microsoft.com/office/drawing/2014/main" id="{827CD264-FE95-95BB-69EC-5240596ED895}"/>
              </a:ext>
            </a:extLst>
          </xdr:cNvPr>
          <xdr:cNvGrpSpPr/>
        </xdr:nvGrpSpPr>
        <xdr:grpSpPr>
          <a:xfrm>
            <a:off x="8792795" y="223242"/>
            <a:ext cx="2868430" cy="2862227"/>
            <a:chOff x="8792795" y="223242"/>
            <a:chExt cx="2868430" cy="2862227"/>
          </a:xfrm>
        </xdr:grpSpPr>
        <xdr:graphicFrame macro="">
          <xdr:nvGraphicFramePr>
            <xdr:cNvPr id="8" name="Graphique 7">
              <a:extLst>
                <a:ext uri="{FF2B5EF4-FFF2-40B4-BE49-F238E27FC236}">
                  <a16:creationId xmlns:a16="http://schemas.microsoft.com/office/drawing/2014/main" id="{0305ACC5-529A-713C-B714-EC370A3C93FB}"/>
                </a:ext>
              </a:extLst>
            </xdr:cNvPr>
            <xdr:cNvGraphicFramePr/>
          </xdr:nvGraphicFramePr>
          <xdr:xfrm>
            <a:off x="8792795" y="223242"/>
            <a:ext cx="2868430" cy="2862227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9" name="TextBox 6">
              <a:extLst>
                <a:ext uri="{FF2B5EF4-FFF2-40B4-BE49-F238E27FC236}">
                  <a16:creationId xmlns:a16="http://schemas.microsoft.com/office/drawing/2014/main" id="{BD8AA2D1-FDE9-4A0A-88C6-F4AA4914A503}"/>
                </a:ext>
              </a:extLst>
            </xdr:cNvPr>
            <xdr:cNvSpPr txBox="1"/>
          </xdr:nvSpPr>
          <xdr:spPr>
            <a:xfrm>
              <a:off x="9014191" y="275582"/>
              <a:ext cx="860612" cy="1779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r>
                <a:rPr lang="da-DK" sz="800">
                  <a:solidFill>
                    <a:schemeClr val="dk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D</a:t>
              </a:r>
              <a:r>
                <a:rPr lang="da-DK" sz="800" baseline="-25000">
                  <a:solidFill>
                    <a:schemeClr val="dk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nssd</a:t>
              </a:r>
              <a:r>
                <a:rPr lang="da-DK" sz="800">
                  <a:solidFill>
                    <a:schemeClr val="dk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 [10</a:t>
              </a:r>
              <a:r>
                <a:rPr lang="da-DK" sz="800" baseline="30000">
                  <a:solidFill>
                    <a:schemeClr val="dk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-12</a:t>
              </a:r>
              <a:r>
                <a:rPr lang="da-DK" sz="800" baseline="0">
                  <a:solidFill>
                    <a:schemeClr val="dk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 m</a:t>
              </a:r>
              <a:r>
                <a:rPr lang="da-DK" sz="800" baseline="30000">
                  <a:solidFill>
                    <a:schemeClr val="dk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2</a:t>
              </a:r>
              <a:r>
                <a:rPr lang="da-DK" sz="800" baseline="0">
                  <a:solidFill>
                    <a:schemeClr val="dk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/s</a:t>
              </a:r>
              <a:r>
                <a:rPr lang="da-DK" sz="800">
                  <a:solidFill>
                    <a:schemeClr val="dk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]</a:t>
              </a:r>
            </a:p>
          </xdr:txBody>
        </xdr:sp>
      </xdr:grpSp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E5C00C16-B113-C9C5-526C-A18126FAF1E1}"/>
              </a:ext>
            </a:extLst>
          </xdr:cNvPr>
          <xdr:cNvGrpSpPr/>
        </xdr:nvGrpSpPr>
        <xdr:grpSpPr>
          <a:xfrm>
            <a:off x="5828852" y="266076"/>
            <a:ext cx="2855989" cy="2884698"/>
            <a:chOff x="5828852" y="266076"/>
            <a:chExt cx="2855989" cy="2884698"/>
          </a:xfrm>
        </xdr:grpSpPr>
        <xdr:graphicFrame macro="">
          <xdr:nvGraphicFramePr>
            <xdr:cNvPr id="30" name="Chart 1">
              <a:extLst>
                <a:ext uri="{FF2B5EF4-FFF2-40B4-BE49-F238E27FC236}">
                  <a16:creationId xmlns:a16="http://schemas.microsoft.com/office/drawing/2014/main" id="{3022B7C1-7E54-4EEE-CB51-4C66B64DD59E}"/>
                </a:ext>
              </a:extLst>
            </xdr:cNvPr>
            <xdr:cNvGraphicFramePr/>
          </xdr:nvGraphicFramePr>
          <xdr:xfrm>
            <a:off x="5828852" y="266076"/>
            <a:ext cx="2855989" cy="288469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 macro="" textlink="">
          <xdr:nvSpPr>
            <xdr:cNvPr id="31" name="TextBox 2">
              <a:extLst>
                <a:ext uri="{FF2B5EF4-FFF2-40B4-BE49-F238E27FC236}">
                  <a16:creationId xmlns:a16="http://schemas.microsoft.com/office/drawing/2014/main" id="{054C01A5-E36C-CE46-F740-BCDAFBE08540}"/>
                </a:ext>
              </a:extLst>
            </xdr:cNvPr>
            <xdr:cNvSpPr txBox="1"/>
          </xdr:nvSpPr>
          <xdr:spPr>
            <a:xfrm>
              <a:off x="6073017" y="275582"/>
              <a:ext cx="830825" cy="179274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a-DK" sz="800" b="0" i="0" baseline="0">
                  <a:solidFill>
                    <a:schemeClr val="dk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D</a:t>
              </a:r>
              <a:r>
                <a:rPr lang="da-DK" sz="800" b="0" i="0" baseline="-25000">
                  <a:solidFill>
                    <a:schemeClr val="dk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nssm</a:t>
              </a:r>
              <a:r>
                <a:rPr lang="da-DK" sz="800" b="0" i="0" baseline="0">
                  <a:solidFill>
                    <a:schemeClr val="dk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 [10</a:t>
              </a:r>
              <a:r>
                <a:rPr lang="da-DK" sz="800" b="0" i="0" baseline="30000">
                  <a:solidFill>
                    <a:schemeClr val="dk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-12</a:t>
              </a:r>
              <a:r>
                <a:rPr lang="da-DK" sz="800" b="0" i="0" baseline="0">
                  <a:solidFill>
                    <a:schemeClr val="dk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 m</a:t>
              </a:r>
              <a:r>
                <a:rPr lang="da-DK" sz="800" b="0" i="0" baseline="30000">
                  <a:solidFill>
                    <a:schemeClr val="dk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2</a:t>
              </a:r>
              <a:r>
                <a:rPr lang="da-DK" sz="800" b="0" i="0" baseline="0">
                  <a:solidFill>
                    <a:schemeClr val="dk1"/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/s]</a:t>
              </a:r>
              <a:endParaRPr lang="da-DK" sz="800">
                <a:effectLst/>
                <a:latin typeface="Arial" panose="020B0604020202020204" pitchFamily="34" charset="0"/>
                <a:cs typeface="Arial" panose="020B0604020202020204" pitchFamily="34" charset="0"/>
              </a:endParaRPr>
            </a:p>
            <a:p>
              <a:endParaRPr lang="da-DK" sz="8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xdr:grpSp>
    </xdr:grpSp>
    <xdr:clientData/>
  </xdr:twoCellAnchor>
  <xdr:twoCellAnchor>
    <xdr:from>
      <xdr:col>0</xdr:col>
      <xdr:colOff>154576</xdr:colOff>
      <xdr:row>0</xdr:row>
      <xdr:rowOff>143118</xdr:rowOff>
    </xdr:from>
    <xdr:to>
      <xdr:col>8</xdr:col>
      <xdr:colOff>122029</xdr:colOff>
      <xdr:row>21</xdr:row>
      <xdr:rowOff>61246</xdr:rowOff>
    </xdr:to>
    <xdr:grpSp>
      <xdr:nvGrpSpPr>
        <xdr:cNvPr id="125" name="Group 44">
          <a:extLst>
            <a:ext uri="{FF2B5EF4-FFF2-40B4-BE49-F238E27FC236}">
              <a16:creationId xmlns:a16="http://schemas.microsoft.com/office/drawing/2014/main" id="{535758C2-F1F7-ADC3-594D-4485C1A306D3}"/>
            </a:ext>
          </a:extLst>
        </xdr:cNvPr>
        <xdr:cNvGrpSpPr/>
      </xdr:nvGrpSpPr>
      <xdr:grpSpPr>
        <a:xfrm>
          <a:off x="154576" y="139943"/>
          <a:ext cx="5337758" cy="4098913"/>
          <a:chOff x="154576" y="143118"/>
          <a:chExt cx="5327729" cy="4056576"/>
        </a:xfrm>
      </xdr:grpSpPr>
      <xdr:grpSp>
        <xdr:nvGrpSpPr>
          <xdr:cNvPr id="126" name="Groupe 57">
            <a:extLst>
              <a:ext uri="{FF2B5EF4-FFF2-40B4-BE49-F238E27FC236}">
                <a16:creationId xmlns:a16="http://schemas.microsoft.com/office/drawing/2014/main" id="{61D0DE1A-97F4-A885-2B25-8C43E050565F}"/>
              </a:ext>
            </a:extLst>
          </xdr:cNvPr>
          <xdr:cNvGrpSpPr/>
        </xdr:nvGrpSpPr>
        <xdr:grpSpPr>
          <a:xfrm>
            <a:off x="154576" y="143118"/>
            <a:ext cx="5327729" cy="4056576"/>
            <a:chOff x="154576" y="143118"/>
            <a:chExt cx="5321331" cy="4092563"/>
          </a:xfrm>
        </xdr:grpSpPr>
        <xdr:grpSp>
          <xdr:nvGrpSpPr>
            <xdr:cNvPr id="127" name="Groupe 47">
              <a:extLst>
                <a:ext uri="{FF2B5EF4-FFF2-40B4-BE49-F238E27FC236}">
                  <a16:creationId xmlns:a16="http://schemas.microsoft.com/office/drawing/2014/main" id="{EF3A4939-ACCC-EABB-2561-418E83A39828}"/>
                </a:ext>
              </a:extLst>
            </xdr:cNvPr>
            <xdr:cNvGrpSpPr/>
          </xdr:nvGrpSpPr>
          <xdr:grpSpPr>
            <a:xfrm>
              <a:off x="154576" y="2110364"/>
              <a:ext cx="5312637" cy="2125317"/>
              <a:chOff x="9159240" y="2781300"/>
              <a:chExt cx="5323238" cy="2118030"/>
            </a:xfrm>
          </xdr:grpSpPr>
          <xdr:graphicFrame macro="">
            <xdr:nvGraphicFramePr>
              <xdr:cNvPr id="128" name="Chart 11">
                <a:extLst>
                  <a:ext uri="{FF2B5EF4-FFF2-40B4-BE49-F238E27FC236}">
                    <a16:creationId xmlns:a16="http://schemas.microsoft.com/office/drawing/2014/main" id="{3461F273-7E83-0741-3CE2-E878BDBA62B6}"/>
                  </a:ext>
                </a:extLst>
              </xdr:cNvPr>
              <xdr:cNvGraphicFramePr/>
            </xdr:nvGraphicFramePr>
            <xdr:xfrm>
              <a:off x="9159240" y="2781300"/>
              <a:ext cx="1826069" cy="211803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3"/>
              </a:graphicData>
            </a:graphic>
          </xdr:graphicFrame>
          <xdr:graphicFrame macro="">
            <xdr:nvGraphicFramePr>
              <xdr:cNvPr id="129" name="Chart 14">
                <a:extLst>
                  <a:ext uri="{FF2B5EF4-FFF2-40B4-BE49-F238E27FC236}">
                    <a16:creationId xmlns:a16="http://schemas.microsoft.com/office/drawing/2014/main" id="{B8AAF771-96AB-C54B-326D-34D58E381154}"/>
                  </a:ext>
                </a:extLst>
              </xdr:cNvPr>
              <xdr:cNvGraphicFramePr/>
            </xdr:nvGraphicFramePr>
            <xdr:xfrm>
              <a:off x="10907083" y="2781300"/>
              <a:ext cx="1824745" cy="211803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4"/>
              </a:graphicData>
            </a:graphic>
          </xdr:graphicFrame>
          <xdr:grpSp>
            <xdr:nvGrpSpPr>
              <xdr:cNvPr id="130" name="Group 27">
                <a:extLst>
                  <a:ext uri="{FF2B5EF4-FFF2-40B4-BE49-F238E27FC236}">
                    <a16:creationId xmlns:a16="http://schemas.microsoft.com/office/drawing/2014/main" id="{C0417B32-7517-9DEC-C374-17515C08E6DC}"/>
                  </a:ext>
                </a:extLst>
              </xdr:cNvPr>
              <xdr:cNvGrpSpPr/>
            </xdr:nvGrpSpPr>
            <xdr:grpSpPr>
              <a:xfrm>
                <a:off x="12656408" y="2781300"/>
                <a:ext cx="1826070" cy="2118030"/>
                <a:chOff x="3904294" y="199449"/>
                <a:chExt cx="1800000" cy="2079275"/>
              </a:xfrm>
            </xdr:grpSpPr>
            <xdr:graphicFrame macro="">
              <xdr:nvGraphicFramePr>
                <xdr:cNvPr id="131" name="Chart 17">
                  <a:extLst>
                    <a:ext uri="{FF2B5EF4-FFF2-40B4-BE49-F238E27FC236}">
                      <a16:creationId xmlns:a16="http://schemas.microsoft.com/office/drawing/2014/main" id="{721D4146-1A13-7747-B298-9644EEADBBC5}"/>
                    </a:ext>
                  </a:extLst>
                </xdr:cNvPr>
                <xdr:cNvGraphicFramePr/>
              </xdr:nvGraphicFramePr>
              <xdr:xfrm>
                <a:off x="3904294" y="199449"/>
                <a:ext cx="1800000" cy="2079275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5"/>
                </a:graphicData>
              </a:graphic>
            </xdr:graphicFrame>
            <xdr:sp macro="" textlink="">
              <xdr:nvSpPr>
                <xdr:cNvPr id="132" name="TextBox 24">
                  <a:extLst>
                    <a:ext uri="{FF2B5EF4-FFF2-40B4-BE49-F238E27FC236}">
                      <a16:creationId xmlns:a16="http://schemas.microsoft.com/office/drawing/2014/main" id="{0190306D-E0D2-9FA4-5077-56FA49FAE841}"/>
                    </a:ext>
                  </a:extLst>
                </xdr:cNvPr>
                <xdr:cNvSpPr txBox="1"/>
              </xdr:nvSpPr>
              <xdr:spPr>
                <a:xfrm>
                  <a:off x="4228213" y="2123705"/>
                  <a:ext cx="1394673" cy="143656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lIns="0" tIns="0" rIns="0" bIns="0" rtlCol="0" anchor="t"/>
                <a:lstStyle/>
                <a:p>
                  <a:r>
                    <a:rPr lang="da-DK" sz="800">
                      <a:solidFill>
                        <a:schemeClr val="dk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rPr>
                    <a:t>Depth from exposed</a:t>
                  </a:r>
                  <a:r>
                    <a:rPr lang="da-DK" sz="800" baseline="0">
                      <a:solidFill>
                        <a:schemeClr val="dk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rPr>
                    <a:t> end [mm]</a:t>
                  </a:r>
                  <a:endParaRPr lang="da-DK" sz="800">
                    <a:solidFill>
                      <a:schemeClr val="dk1"/>
                    </a:solidFill>
                    <a:latin typeface="Arial" panose="020B0604020202020204" pitchFamily="34" charset="0"/>
                    <a:cs typeface="Arial" panose="020B0604020202020204" pitchFamily="34" charset="0"/>
                  </a:endParaRPr>
                </a:p>
              </xdr:txBody>
            </xdr:sp>
          </xdr:grpSp>
        </xdr:grpSp>
        <xdr:grpSp>
          <xdr:nvGrpSpPr>
            <xdr:cNvPr id="133" name="Groupe 56">
              <a:extLst>
                <a:ext uri="{FF2B5EF4-FFF2-40B4-BE49-F238E27FC236}">
                  <a16:creationId xmlns:a16="http://schemas.microsoft.com/office/drawing/2014/main" id="{4D037878-4E1B-F401-F681-4F57BAC08E39}"/>
                </a:ext>
              </a:extLst>
            </xdr:cNvPr>
            <xdr:cNvGrpSpPr/>
          </xdr:nvGrpSpPr>
          <xdr:grpSpPr>
            <a:xfrm>
              <a:off x="156980" y="143118"/>
              <a:ext cx="5318927" cy="2125319"/>
              <a:chOff x="156980" y="143118"/>
              <a:chExt cx="5329529" cy="2118030"/>
            </a:xfrm>
          </xdr:grpSpPr>
          <xdr:grpSp>
            <xdr:nvGrpSpPr>
              <xdr:cNvPr id="134" name="Group 10">
                <a:extLst>
                  <a:ext uri="{FF2B5EF4-FFF2-40B4-BE49-F238E27FC236}">
                    <a16:creationId xmlns:a16="http://schemas.microsoft.com/office/drawing/2014/main" id="{69B2F085-5222-4FBD-BE0F-3CBA5A131198}"/>
                  </a:ext>
                </a:extLst>
              </xdr:cNvPr>
              <xdr:cNvGrpSpPr/>
            </xdr:nvGrpSpPr>
            <xdr:grpSpPr>
              <a:xfrm>
                <a:off x="156980" y="143118"/>
                <a:ext cx="1825986" cy="2118030"/>
                <a:chOff x="1279920" y="778669"/>
                <a:chExt cx="2880000" cy="2160000"/>
              </a:xfrm>
            </xdr:grpSpPr>
            <xdr:graphicFrame macro="">
              <xdr:nvGraphicFramePr>
                <xdr:cNvPr id="135" name="Chart 11">
                  <a:extLst>
                    <a:ext uri="{FF2B5EF4-FFF2-40B4-BE49-F238E27FC236}">
                      <a16:creationId xmlns:a16="http://schemas.microsoft.com/office/drawing/2014/main" id="{00A4D618-71E0-A6A4-499C-2AED9B5C6C6F}"/>
                    </a:ext>
                  </a:extLst>
                </xdr:cNvPr>
                <xdr:cNvGraphicFramePr/>
              </xdr:nvGraphicFramePr>
              <xdr:xfrm>
                <a:off x="1279920" y="778669"/>
                <a:ext cx="2880000" cy="2160000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6"/>
                </a:graphicData>
              </a:graphic>
            </xdr:graphicFrame>
            <xdr:sp macro="" textlink="">
              <xdr:nvSpPr>
                <xdr:cNvPr id="136" name="TextBox 12">
                  <a:extLst>
                    <a:ext uri="{FF2B5EF4-FFF2-40B4-BE49-F238E27FC236}">
                      <a16:creationId xmlns:a16="http://schemas.microsoft.com/office/drawing/2014/main" id="{932970B0-B7F3-8F0C-1EBD-1E94F8528AB8}"/>
                    </a:ext>
                  </a:extLst>
                </xdr:cNvPr>
                <xdr:cNvSpPr txBox="1"/>
              </xdr:nvSpPr>
              <xdr:spPr>
                <a:xfrm>
                  <a:off x="1523998" y="821532"/>
                  <a:ext cx="2446235" cy="154248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lIns="0" tIns="0" rIns="0" bIns="0" rtlCol="0" anchor="t"/>
                <a:lstStyle/>
                <a:p>
                  <a:r>
                    <a:rPr lang="da-DK" sz="800">
                      <a:solidFill>
                        <a:schemeClr val="dk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rPr>
                    <a:t>Chloride content [g/100 g paste]</a:t>
                  </a:r>
                </a:p>
              </xdr:txBody>
            </xdr:sp>
          </xdr:grpSp>
          <xdr:graphicFrame macro="">
            <xdr:nvGraphicFramePr>
              <xdr:cNvPr id="137" name="Chart 14">
                <a:extLst>
                  <a:ext uri="{FF2B5EF4-FFF2-40B4-BE49-F238E27FC236}">
                    <a16:creationId xmlns:a16="http://schemas.microsoft.com/office/drawing/2014/main" id="{949D3BE0-4C0A-3C3C-3AD7-7BF5C79964B4}"/>
                  </a:ext>
                </a:extLst>
              </xdr:cNvPr>
              <xdr:cNvGraphicFramePr/>
            </xdr:nvGraphicFramePr>
            <xdr:xfrm>
              <a:off x="1900214" y="143118"/>
              <a:ext cx="1825986" cy="211803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7"/>
              </a:graphicData>
            </a:graphic>
          </xdr:graphicFrame>
          <xdr:graphicFrame macro="">
            <xdr:nvGraphicFramePr>
              <xdr:cNvPr id="138" name="Chart 17">
                <a:extLst>
                  <a:ext uri="{FF2B5EF4-FFF2-40B4-BE49-F238E27FC236}">
                    <a16:creationId xmlns:a16="http://schemas.microsoft.com/office/drawing/2014/main" id="{BF9DD423-D932-9BEB-E368-BBA560990960}"/>
                  </a:ext>
                </a:extLst>
              </xdr:cNvPr>
              <xdr:cNvGraphicFramePr/>
            </xdr:nvGraphicFramePr>
            <xdr:xfrm>
              <a:off x="3660523" y="143118"/>
              <a:ext cx="1825986" cy="211803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8"/>
              </a:graphicData>
            </a:graphic>
          </xdr:graphicFrame>
        </xdr:grpSp>
      </xdr:grpSp>
      <xdr:sp macro="" textlink="">
        <xdr:nvSpPr>
          <xdr:cNvPr id="139" name="TextBox 13">
            <a:extLst>
              <a:ext uri="{FF2B5EF4-FFF2-40B4-BE49-F238E27FC236}">
                <a16:creationId xmlns:a16="http://schemas.microsoft.com/office/drawing/2014/main" id="{DF49E1DB-832A-3DB7-88FB-85D724398A10}"/>
              </a:ext>
            </a:extLst>
          </xdr:cNvPr>
          <xdr:cNvSpPr txBox="1"/>
        </xdr:nvSpPr>
        <xdr:spPr>
          <a:xfrm>
            <a:off x="1537138" y="397595"/>
            <a:ext cx="274169" cy="16733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M-PC</a:t>
            </a:r>
          </a:p>
        </xdr:txBody>
      </xdr:sp>
      <xdr:sp macro="" textlink="">
        <xdr:nvSpPr>
          <xdr:cNvPr id="140" name="TextBox 18">
            <a:extLst>
              <a:ext uri="{FF2B5EF4-FFF2-40B4-BE49-F238E27FC236}">
                <a16:creationId xmlns:a16="http://schemas.microsoft.com/office/drawing/2014/main" id="{0F00218F-5652-4F1C-802B-F70D9E655E0E}"/>
              </a:ext>
            </a:extLst>
          </xdr:cNvPr>
          <xdr:cNvSpPr txBox="1"/>
        </xdr:nvSpPr>
        <xdr:spPr>
          <a:xfrm>
            <a:off x="3078185" y="396143"/>
            <a:ext cx="479534" cy="11530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M-PCC35</a:t>
            </a:r>
          </a:p>
        </xdr:txBody>
      </xdr:sp>
      <xdr:sp macro="" textlink="">
        <xdr:nvSpPr>
          <xdr:cNvPr id="141" name="TextBox 22">
            <a:extLst>
              <a:ext uri="{FF2B5EF4-FFF2-40B4-BE49-F238E27FC236}">
                <a16:creationId xmlns:a16="http://schemas.microsoft.com/office/drawing/2014/main" id="{43C36B2B-7F06-4956-8479-FA8F950319B7}"/>
              </a:ext>
            </a:extLst>
          </xdr:cNvPr>
          <xdr:cNvSpPr txBox="1"/>
        </xdr:nvSpPr>
        <xdr:spPr>
          <a:xfrm>
            <a:off x="4834622" y="396594"/>
            <a:ext cx="476250" cy="11184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M-PCC50</a:t>
            </a:r>
          </a:p>
        </xdr:txBody>
      </xdr:sp>
      <xdr:sp macro="" textlink="">
        <xdr:nvSpPr>
          <xdr:cNvPr id="142" name="TextBox 23">
            <a:extLst>
              <a:ext uri="{FF2B5EF4-FFF2-40B4-BE49-F238E27FC236}">
                <a16:creationId xmlns:a16="http://schemas.microsoft.com/office/drawing/2014/main" id="{DF300C1F-285B-4783-9251-E84CB7E6BF04}"/>
              </a:ext>
            </a:extLst>
          </xdr:cNvPr>
          <xdr:cNvSpPr txBox="1"/>
        </xdr:nvSpPr>
        <xdr:spPr>
          <a:xfrm>
            <a:off x="4831614" y="2349238"/>
            <a:ext cx="476250" cy="11184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D-PCC50</a:t>
            </a:r>
          </a:p>
        </xdr:txBody>
      </xdr:sp>
      <xdr:sp macro="" textlink="">
        <xdr:nvSpPr>
          <xdr:cNvPr id="143" name="TextBox 24">
            <a:extLst>
              <a:ext uri="{FF2B5EF4-FFF2-40B4-BE49-F238E27FC236}">
                <a16:creationId xmlns:a16="http://schemas.microsoft.com/office/drawing/2014/main" id="{8444247E-54FF-4EFE-BC3B-0476044BA55C}"/>
              </a:ext>
            </a:extLst>
          </xdr:cNvPr>
          <xdr:cNvSpPr txBox="1"/>
        </xdr:nvSpPr>
        <xdr:spPr>
          <a:xfrm>
            <a:off x="3074173" y="2346230"/>
            <a:ext cx="479534" cy="11184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D-PCC35</a:t>
            </a:r>
          </a:p>
        </xdr:txBody>
      </xdr:sp>
      <xdr:sp macro="" textlink="">
        <xdr:nvSpPr>
          <xdr:cNvPr id="144" name="TextBox 25">
            <a:extLst>
              <a:ext uri="{FF2B5EF4-FFF2-40B4-BE49-F238E27FC236}">
                <a16:creationId xmlns:a16="http://schemas.microsoft.com/office/drawing/2014/main" id="{DFBBF384-9BB0-4C90-906E-8B34A5200C4A}"/>
              </a:ext>
            </a:extLst>
          </xdr:cNvPr>
          <xdr:cNvSpPr txBox="1"/>
        </xdr:nvSpPr>
        <xdr:spPr>
          <a:xfrm>
            <a:off x="1537138" y="2348237"/>
            <a:ext cx="274169" cy="1216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D-PC</a:t>
            </a:r>
          </a:p>
        </xdr:txBody>
      </xdr:sp>
      <xdr:sp macro="" textlink="">
        <xdr:nvSpPr>
          <xdr:cNvPr id="145" name="TextBox 26">
            <a:extLst>
              <a:ext uri="{FF2B5EF4-FFF2-40B4-BE49-F238E27FC236}">
                <a16:creationId xmlns:a16="http://schemas.microsoft.com/office/drawing/2014/main" id="{922D32EE-235B-4BD0-BFB7-D770BBEAAE4B}"/>
              </a:ext>
            </a:extLst>
          </xdr:cNvPr>
          <xdr:cNvSpPr txBox="1"/>
        </xdr:nvSpPr>
        <xdr:spPr>
          <a:xfrm>
            <a:off x="544392" y="1689592"/>
            <a:ext cx="415195" cy="12413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4 weeks</a:t>
            </a:r>
          </a:p>
        </xdr:txBody>
      </xdr:sp>
      <xdr:sp macro="" textlink="">
        <xdr:nvSpPr>
          <xdr:cNvPr id="146" name="TextBox 27">
            <a:extLst>
              <a:ext uri="{FF2B5EF4-FFF2-40B4-BE49-F238E27FC236}">
                <a16:creationId xmlns:a16="http://schemas.microsoft.com/office/drawing/2014/main" id="{4B421EA9-47F1-4FEE-9DA7-C486DB724B8C}"/>
              </a:ext>
            </a:extLst>
          </xdr:cNvPr>
          <xdr:cNvSpPr txBox="1"/>
        </xdr:nvSpPr>
        <xdr:spPr>
          <a:xfrm>
            <a:off x="926187" y="1434024"/>
            <a:ext cx="473348" cy="12759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12 weeks</a:t>
            </a:r>
          </a:p>
        </xdr:txBody>
      </xdr:sp>
      <xdr:sp macro="" textlink="">
        <xdr:nvSpPr>
          <xdr:cNvPr id="147" name="TextBox 28">
            <a:extLst>
              <a:ext uri="{FF2B5EF4-FFF2-40B4-BE49-F238E27FC236}">
                <a16:creationId xmlns:a16="http://schemas.microsoft.com/office/drawing/2014/main" id="{42EBF8B5-BC3A-412E-9A43-BD92A51BB127}"/>
              </a:ext>
            </a:extLst>
          </xdr:cNvPr>
          <xdr:cNvSpPr txBox="1"/>
        </xdr:nvSpPr>
        <xdr:spPr>
          <a:xfrm>
            <a:off x="2404307" y="1733707"/>
            <a:ext cx="473349" cy="12413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12 weeks</a:t>
            </a:r>
          </a:p>
        </xdr:txBody>
      </xdr:sp>
      <xdr:sp macro="" textlink="">
        <xdr:nvSpPr>
          <xdr:cNvPr id="148" name="TextBox 31">
            <a:extLst>
              <a:ext uri="{FF2B5EF4-FFF2-40B4-BE49-F238E27FC236}">
                <a16:creationId xmlns:a16="http://schemas.microsoft.com/office/drawing/2014/main" id="{E0B73F3B-197E-47D2-9B56-1BA40EE81125}"/>
              </a:ext>
            </a:extLst>
          </xdr:cNvPr>
          <xdr:cNvSpPr txBox="1"/>
        </xdr:nvSpPr>
        <xdr:spPr>
          <a:xfrm>
            <a:off x="3906802" y="1725685"/>
            <a:ext cx="473349" cy="12413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12 weeks</a:t>
            </a:r>
          </a:p>
        </xdr:txBody>
      </xdr:sp>
      <xdr:sp macro="" textlink="">
        <xdr:nvSpPr>
          <xdr:cNvPr id="149" name="TextBox 32">
            <a:extLst>
              <a:ext uri="{FF2B5EF4-FFF2-40B4-BE49-F238E27FC236}">
                <a16:creationId xmlns:a16="http://schemas.microsoft.com/office/drawing/2014/main" id="{248157ED-402E-4F74-A456-2C9F583DE8D9}"/>
              </a:ext>
            </a:extLst>
          </xdr:cNvPr>
          <xdr:cNvSpPr txBox="1"/>
        </xdr:nvSpPr>
        <xdr:spPr>
          <a:xfrm>
            <a:off x="2856772" y="1499541"/>
            <a:ext cx="411911" cy="12413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4 weeks</a:t>
            </a:r>
          </a:p>
        </xdr:txBody>
      </xdr:sp>
      <xdr:sp macro="" textlink="">
        <xdr:nvSpPr>
          <xdr:cNvPr id="150" name="TextBox 33">
            <a:extLst>
              <a:ext uri="{FF2B5EF4-FFF2-40B4-BE49-F238E27FC236}">
                <a16:creationId xmlns:a16="http://schemas.microsoft.com/office/drawing/2014/main" id="{80216E7D-C74C-4F0D-AB3E-D6D9D78C3FED}"/>
              </a:ext>
            </a:extLst>
          </xdr:cNvPr>
          <xdr:cNvSpPr txBox="1"/>
        </xdr:nvSpPr>
        <xdr:spPr>
          <a:xfrm>
            <a:off x="4444491" y="1521599"/>
            <a:ext cx="415195" cy="12413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4 weeks</a:t>
            </a:r>
          </a:p>
        </xdr:txBody>
      </xdr:sp>
      <xdr:sp macro="" textlink="">
        <xdr:nvSpPr>
          <xdr:cNvPr id="151" name="TextBox 35">
            <a:extLst>
              <a:ext uri="{FF2B5EF4-FFF2-40B4-BE49-F238E27FC236}">
                <a16:creationId xmlns:a16="http://schemas.microsoft.com/office/drawing/2014/main" id="{107D69D3-4E0A-4CF2-9B01-3AA448D3E9EB}"/>
              </a:ext>
            </a:extLst>
          </xdr:cNvPr>
          <xdr:cNvSpPr txBox="1"/>
        </xdr:nvSpPr>
        <xdr:spPr>
          <a:xfrm>
            <a:off x="3813095" y="3702943"/>
            <a:ext cx="443735" cy="11208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12 weeks</a:t>
            </a:r>
          </a:p>
        </xdr:txBody>
      </xdr:sp>
      <xdr:sp macro="" textlink="">
        <xdr:nvSpPr>
          <xdr:cNvPr id="152" name="TextBox 38">
            <a:extLst>
              <a:ext uri="{FF2B5EF4-FFF2-40B4-BE49-F238E27FC236}">
                <a16:creationId xmlns:a16="http://schemas.microsoft.com/office/drawing/2014/main" id="{0172EA0B-74A2-472C-BF60-4A66991A37DD}"/>
              </a:ext>
            </a:extLst>
          </xdr:cNvPr>
          <xdr:cNvSpPr txBox="1"/>
        </xdr:nvSpPr>
        <xdr:spPr>
          <a:xfrm>
            <a:off x="2059011" y="3683341"/>
            <a:ext cx="450405" cy="12636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12 weeks</a:t>
            </a:r>
          </a:p>
        </xdr:txBody>
      </xdr:sp>
      <xdr:sp macro="" textlink="">
        <xdr:nvSpPr>
          <xdr:cNvPr id="153" name="TextBox 39">
            <a:extLst>
              <a:ext uri="{FF2B5EF4-FFF2-40B4-BE49-F238E27FC236}">
                <a16:creationId xmlns:a16="http://schemas.microsoft.com/office/drawing/2014/main" id="{8C507A4A-F642-4901-BA6F-89B4F7A31AA3}"/>
              </a:ext>
            </a:extLst>
          </xdr:cNvPr>
          <xdr:cNvSpPr txBox="1"/>
        </xdr:nvSpPr>
        <xdr:spPr>
          <a:xfrm>
            <a:off x="441113" y="3685347"/>
            <a:ext cx="459528" cy="11903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12 weeks</a:t>
            </a:r>
          </a:p>
        </xdr:txBody>
      </xdr:sp>
      <xdr:sp macro="" textlink="">
        <xdr:nvSpPr>
          <xdr:cNvPr id="154" name="TextBox 40">
            <a:extLst>
              <a:ext uri="{FF2B5EF4-FFF2-40B4-BE49-F238E27FC236}">
                <a16:creationId xmlns:a16="http://schemas.microsoft.com/office/drawing/2014/main" id="{9352C3C5-0FC8-430F-AB4F-369546365EE7}"/>
              </a:ext>
            </a:extLst>
          </xdr:cNvPr>
          <xdr:cNvSpPr txBox="1"/>
        </xdr:nvSpPr>
        <xdr:spPr>
          <a:xfrm>
            <a:off x="933897" y="3330311"/>
            <a:ext cx="473349" cy="12413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30 weeks</a:t>
            </a:r>
          </a:p>
        </xdr:txBody>
      </xdr:sp>
      <xdr:sp macro="" textlink="">
        <xdr:nvSpPr>
          <xdr:cNvPr id="155" name="TextBox 42">
            <a:extLst>
              <a:ext uri="{FF2B5EF4-FFF2-40B4-BE49-F238E27FC236}">
                <a16:creationId xmlns:a16="http://schemas.microsoft.com/office/drawing/2014/main" id="{CB9E73EA-4B8B-4583-891D-9AFCFD22A596}"/>
              </a:ext>
            </a:extLst>
          </xdr:cNvPr>
          <xdr:cNvSpPr txBox="1"/>
        </xdr:nvSpPr>
        <xdr:spPr>
          <a:xfrm>
            <a:off x="2511589" y="3419096"/>
            <a:ext cx="473349" cy="12759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30 weeks</a:t>
            </a:r>
          </a:p>
        </xdr:txBody>
      </xdr:sp>
      <xdr:sp macro="" textlink="">
        <xdr:nvSpPr>
          <xdr:cNvPr id="156" name="TextBox 43">
            <a:extLst>
              <a:ext uri="{FF2B5EF4-FFF2-40B4-BE49-F238E27FC236}">
                <a16:creationId xmlns:a16="http://schemas.microsoft.com/office/drawing/2014/main" id="{2363A3A8-A152-4928-8B53-5ABDE144184E}"/>
              </a:ext>
            </a:extLst>
          </xdr:cNvPr>
          <xdr:cNvSpPr txBox="1"/>
        </xdr:nvSpPr>
        <xdr:spPr>
          <a:xfrm>
            <a:off x="4278053" y="3446167"/>
            <a:ext cx="473348" cy="12413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30 weeks</a:t>
            </a:r>
          </a:p>
        </xdr:txBody>
      </xdr:sp>
    </xdr:grpSp>
    <xdr:clientData/>
  </xdr:twoCellAnchor>
  <xdr:twoCellAnchor>
    <xdr:from>
      <xdr:col>0</xdr:col>
      <xdr:colOff>204698</xdr:colOff>
      <xdr:row>23</xdr:row>
      <xdr:rowOff>198782</xdr:rowOff>
    </xdr:from>
    <xdr:to>
      <xdr:col>8</xdr:col>
      <xdr:colOff>115591</xdr:colOff>
      <xdr:row>38</xdr:row>
      <xdr:rowOff>57996</xdr:rowOff>
    </xdr:to>
    <xdr:grpSp>
      <xdr:nvGrpSpPr>
        <xdr:cNvPr id="99" name="Group 98">
          <a:extLst>
            <a:ext uri="{FF2B5EF4-FFF2-40B4-BE49-F238E27FC236}">
              <a16:creationId xmlns:a16="http://schemas.microsoft.com/office/drawing/2014/main" id="{370A6240-9E98-A5CE-21D2-83B8D4E46DA4}"/>
            </a:ext>
          </a:extLst>
        </xdr:cNvPr>
        <xdr:cNvGrpSpPr/>
      </xdr:nvGrpSpPr>
      <xdr:grpSpPr>
        <a:xfrm>
          <a:off x="201523" y="4773957"/>
          <a:ext cx="5281198" cy="2837778"/>
          <a:chOff x="204698" y="4830653"/>
          <a:chExt cx="5266664" cy="2880000"/>
        </a:xfrm>
      </xdr:grpSpPr>
      <xdr:graphicFrame macro="">
        <xdr:nvGraphicFramePr>
          <xdr:cNvPr id="47" name="Chart 46">
            <a:extLst>
              <a:ext uri="{FF2B5EF4-FFF2-40B4-BE49-F238E27FC236}">
                <a16:creationId xmlns:a16="http://schemas.microsoft.com/office/drawing/2014/main" id="{B0E9B038-6E46-45E8-8124-195F8244B492}"/>
              </a:ext>
            </a:extLst>
          </xdr:cNvPr>
          <xdr:cNvGraphicFramePr>
            <a:graphicFrameLocks/>
          </xdr:cNvGraphicFramePr>
        </xdr:nvGraphicFramePr>
        <xdr:xfrm>
          <a:off x="204698" y="4830653"/>
          <a:ext cx="2699856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graphicFrame macro="">
        <xdr:nvGraphicFramePr>
          <xdr:cNvPr id="49" name="Chart 14">
            <a:extLst>
              <a:ext uri="{FF2B5EF4-FFF2-40B4-BE49-F238E27FC236}">
                <a16:creationId xmlns:a16="http://schemas.microsoft.com/office/drawing/2014/main" id="{8530888C-EC63-4D3A-B33F-DE0D388B4098}"/>
              </a:ext>
            </a:extLst>
          </xdr:cNvPr>
          <xdr:cNvGraphicFramePr>
            <a:graphicFrameLocks/>
          </xdr:cNvGraphicFramePr>
        </xdr:nvGraphicFramePr>
        <xdr:xfrm>
          <a:off x="2771505" y="4830653"/>
          <a:ext cx="2699857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sp macro="" textlink="">
        <xdr:nvSpPr>
          <xdr:cNvPr id="50" name="TextBox 49">
            <a:extLst>
              <a:ext uri="{FF2B5EF4-FFF2-40B4-BE49-F238E27FC236}">
                <a16:creationId xmlns:a16="http://schemas.microsoft.com/office/drawing/2014/main" id="{53D21EAA-FAEA-4E52-BD34-32855A2EA652}"/>
              </a:ext>
            </a:extLst>
          </xdr:cNvPr>
          <xdr:cNvSpPr txBox="1"/>
        </xdr:nvSpPr>
        <xdr:spPr>
          <a:xfrm>
            <a:off x="4576534" y="5181145"/>
            <a:ext cx="696604" cy="12426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D-PCC35-12w</a:t>
            </a:r>
          </a:p>
        </xdr:txBody>
      </xdr:sp>
      <xdr:sp macro="" textlink="">
        <xdr:nvSpPr>
          <xdr:cNvPr id="51" name="TextBox 50">
            <a:extLst>
              <a:ext uri="{FF2B5EF4-FFF2-40B4-BE49-F238E27FC236}">
                <a16:creationId xmlns:a16="http://schemas.microsoft.com/office/drawing/2014/main" id="{7E017A32-0779-47EB-B105-02646A68851D}"/>
              </a:ext>
            </a:extLst>
          </xdr:cNvPr>
          <xdr:cNvSpPr txBox="1"/>
        </xdr:nvSpPr>
        <xdr:spPr>
          <a:xfrm>
            <a:off x="1996505" y="5186662"/>
            <a:ext cx="681883" cy="1187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M-PCC35-12w</a:t>
            </a:r>
          </a:p>
        </xdr:txBody>
      </xdr:sp>
      <xdr:sp macro="" textlink="">
        <xdr:nvSpPr>
          <xdr:cNvPr id="52" name="TextBox 24">
            <a:extLst>
              <a:ext uri="{FF2B5EF4-FFF2-40B4-BE49-F238E27FC236}">
                <a16:creationId xmlns:a16="http://schemas.microsoft.com/office/drawing/2014/main" id="{82E626BF-06FE-4FB9-8E28-C93DC7F5A022}"/>
              </a:ext>
            </a:extLst>
          </xdr:cNvPr>
          <xdr:cNvSpPr txBox="1"/>
        </xdr:nvSpPr>
        <xdr:spPr>
          <a:xfrm>
            <a:off x="3934242" y="7461382"/>
            <a:ext cx="1412350" cy="1508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solidFill>
                  <a:schemeClr val="dk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Depth from exposed</a:t>
            </a:r>
            <a:r>
              <a:rPr lang="da-DK" sz="800" baseline="0">
                <a:solidFill>
                  <a:schemeClr val="dk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end [mm]</a:t>
            </a:r>
            <a:endParaRPr lang="da-DK" sz="80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3" name="TextBox 52">
            <a:extLst>
              <a:ext uri="{FF2B5EF4-FFF2-40B4-BE49-F238E27FC236}">
                <a16:creationId xmlns:a16="http://schemas.microsoft.com/office/drawing/2014/main" id="{F23DED1C-6367-4C8B-9E43-B183D12ED1A1}"/>
              </a:ext>
            </a:extLst>
          </xdr:cNvPr>
          <xdr:cNvSpPr txBox="1"/>
        </xdr:nvSpPr>
        <xdr:spPr>
          <a:xfrm>
            <a:off x="434931" y="4957561"/>
            <a:ext cx="1547935" cy="1532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solidFill>
                  <a:schemeClr val="dk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Chloride content [g/100 g paste]</a:t>
            </a:r>
          </a:p>
        </xdr:txBody>
      </xdr:sp>
      <xdr:cxnSp macro="">
        <xdr:nvCxnSpPr>
          <xdr:cNvPr id="90" name="Straight Arrow Connector 89">
            <a:extLst>
              <a:ext uri="{FF2B5EF4-FFF2-40B4-BE49-F238E27FC236}">
                <a16:creationId xmlns:a16="http://schemas.microsoft.com/office/drawing/2014/main" id="{58080BFA-2FB0-4A3C-14FB-3CA237E49D1B}"/>
              </a:ext>
            </a:extLst>
          </xdr:cNvPr>
          <xdr:cNvCxnSpPr/>
        </xdr:nvCxnSpPr>
        <xdr:spPr>
          <a:xfrm flipH="1">
            <a:off x="3096986" y="5551714"/>
            <a:ext cx="544286" cy="103414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Straight Arrow Connector 91">
            <a:extLst>
              <a:ext uri="{FF2B5EF4-FFF2-40B4-BE49-F238E27FC236}">
                <a16:creationId xmlns:a16="http://schemas.microsoft.com/office/drawing/2014/main" id="{EE997372-2B79-4492-B9B6-43FE900E1E10}"/>
              </a:ext>
            </a:extLst>
          </xdr:cNvPr>
          <xdr:cNvCxnSpPr/>
        </xdr:nvCxnSpPr>
        <xdr:spPr>
          <a:xfrm flipH="1">
            <a:off x="3091544" y="5802086"/>
            <a:ext cx="468085" cy="38100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7" name="TextBox 96">
            <a:extLst>
              <a:ext uri="{FF2B5EF4-FFF2-40B4-BE49-F238E27FC236}">
                <a16:creationId xmlns:a16="http://schemas.microsoft.com/office/drawing/2014/main" id="{B0C70059-5199-404A-8E7F-9308B057A1B5}"/>
              </a:ext>
            </a:extLst>
          </xdr:cNvPr>
          <xdr:cNvSpPr txBox="1"/>
        </xdr:nvSpPr>
        <xdr:spPr>
          <a:xfrm>
            <a:off x="3617370" y="5734168"/>
            <a:ext cx="696604" cy="12426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Binding</a:t>
            </a:r>
          </a:p>
        </xdr:txBody>
      </xdr:sp>
      <xdr:sp macro="" textlink="">
        <xdr:nvSpPr>
          <xdr:cNvPr id="98" name="TextBox 97">
            <a:extLst>
              <a:ext uri="{FF2B5EF4-FFF2-40B4-BE49-F238E27FC236}">
                <a16:creationId xmlns:a16="http://schemas.microsoft.com/office/drawing/2014/main" id="{948C42BF-BB77-4393-9F20-E24D89F73C3D}"/>
              </a:ext>
            </a:extLst>
          </xdr:cNvPr>
          <xdr:cNvSpPr txBox="1"/>
        </xdr:nvSpPr>
        <xdr:spPr>
          <a:xfrm>
            <a:off x="3688126" y="5483797"/>
            <a:ext cx="769573" cy="14956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fr-CA" sz="8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 binding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A40DEE73-60FF-4B15-BB09-4604C7519118}">
  <we:reference id="026e7b2b-fa4d-4fe0-bf3b-b965f6f25bee" version="1.0.0.76" store="EXCatalog" storeType="EXCatalog"/>
  <we:alternateReferences>
    <we:reference id="WA200000565" version="1.0.0.76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RDP.Data</we:customFunctionIds>
        <we:customFunctionIds>RDP.Price</we:customFunctionIds>
        <we:customFunctionIds>RDP.HistoricalPricing</we:customFunctionIds>
        <we:customFunctionIds>RDP.Analytics</we:customFunctionIds>
        <we:customFunctionIds>RDP.Search</we:customFunctionIds>
        <we:customFunctionIds>RDP.Now</we:customFunctionIds>
        <we:customFunctionIds>RDP.Today</we:customFunctionIds>
        <we:customFunctionIds>RDP.Aggregate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42C3D-70AB-43C1-B369-19CF6ED5DE34}">
  <dimension ref="A1:S27"/>
  <sheetViews>
    <sheetView zoomScale="75" workbookViewId="0">
      <selection activeCell="D48" sqref="D48"/>
    </sheetView>
  </sheetViews>
  <sheetFormatPr defaultColWidth="10.58203125" defaultRowHeight="15.5" x14ac:dyDescent="0.35"/>
  <cols>
    <col min="1" max="1" width="11.75" customWidth="1"/>
    <col min="2" max="2" width="11.58203125" bestFit="1" customWidth="1"/>
    <col min="3" max="3" width="25.25" customWidth="1"/>
    <col min="4" max="4" width="13.5" customWidth="1"/>
    <col min="5" max="5" width="11.25" bestFit="1" customWidth="1"/>
    <col min="6" max="6" width="11.75" bestFit="1" customWidth="1"/>
    <col min="8" max="8" width="12.5" bestFit="1" customWidth="1"/>
    <col min="11" max="11" width="11.75" customWidth="1"/>
  </cols>
  <sheetData>
    <row r="1" spans="1:19" ht="16" thickBot="1" x14ac:dyDescent="0.4">
      <c r="A1" s="9" t="s">
        <v>0</v>
      </c>
      <c r="B1" s="10" t="s">
        <v>1</v>
      </c>
      <c r="C1" s="10">
        <v>32</v>
      </c>
      <c r="D1" s="10" t="s">
        <v>2</v>
      </c>
      <c r="E1" s="10">
        <v>20.399999999999999</v>
      </c>
      <c r="F1" s="10" t="s">
        <v>4</v>
      </c>
      <c r="G1" s="10">
        <v>22.22</v>
      </c>
      <c r="H1" s="10" t="s">
        <v>5</v>
      </c>
      <c r="I1" s="11">
        <v>50</v>
      </c>
    </row>
    <row r="2" spans="1:19" x14ac:dyDescent="0.35">
      <c r="O2" s="17">
        <v>0.50208333333333333</v>
      </c>
      <c r="P2" s="17">
        <v>0.43402777777777773</v>
      </c>
      <c r="Q2" s="17">
        <f>O2-P2</f>
        <v>6.8055555555555591E-2</v>
      </c>
      <c r="R2" s="18">
        <v>1</v>
      </c>
      <c r="S2" s="18">
        <f>R2-Q2</f>
        <v>0.93194444444444446</v>
      </c>
    </row>
    <row r="3" spans="1:19" x14ac:dyDescent="0.35">
      <c r="A3" s="8" t="s">
        <v>21</v>
      </c>
      <c r="B3" s="8" t="s">
        <v>22</v>
      </c>
      <c r="C3" s="74" t="s">
        <v>25</v>
      </c>
      <c r="D3" s="74"/>
      <c r="E3" s="74"/>
      <c r="F3" s="74"/>
      <c r="G3" s="74"/>
      <c r="H3" s="74"/>
      <c r="I3" s="74"/>
      <c r="J3" s="8" t="s">
        <v>23</v>
      </c>
      <c r="K3" s="8" t="s">
        <v>24</v>
      </c>
    </row>
    <row r="4" spans="1:19" x14ac:dyDescent="0.35">
      <c r="A4" s="16">
        <f>(50.8+49.7+50.8)/3</f>
        <v>50.433333333333337</v>
      </c>
      <c r="B4" s="8" t="s">
        <v>16</v>
      </c>
      <c r="C4" s="8">
        <v>18.600000000000001</v>
      </c>
      <c r="D4" s="8">
        <v>17.399999999999999</v>
      </c>
      <c r="E4" s="8">
        <v>18.5</v>
      </c>
      <c r="F4" s="8">
        <v>19.2</v>
      </c>
      <c r="G4" s="8">
        <v>19.5</v>
      </c>
      <c r="H4" s="8">
        <v>18.399999999999999</v>
      </c>
      <c r="I4" s="8">
        <v>17.100000000000001</v>
      </c>
      <c r="J4" s="8">
        <f>AVERAGE(C4:I4)</f>
        <v>18.385714285714283</v>
      </c>
      <c r="K4" s="8">
        <f>((0.0239*(273+T)*A4)/((U-2)*ti))*(J4-0.0238*SQRT(((273+T)*A4*J4)/(U-2)))</f>
        <v>8.5517635461053718</v>
      </c>
    </row>
    <row r="5" spans="1:19" x14ac:dyDescent="0.35">
      <c r="A5" s="16">
        <f>(49.5+49.2+48.6)/3</f>
        <v>49.1</v>
      </c>
      <c r="B5" s="8" t="s">
        <v>17</v>
      </c>
      <c r="C5" s="8">
        <v>10.7</v>
      </c>
      <c r="D5" s="8">
        <v>10.6</v>
      </c>
      <c r="E5" s="8">
        <v>9.6</v>
      </c>
      <c r="F5" s="8">
        <v>9.8000000000000007</v>
      </c>
      <c r="G5" s="8">
        <v>9.5</v>
      </c>
      <c r="H5" s="8">
        <v>9.6999999999999993</v>
      </c>
      <c r="I5" s="8">
        <v>11</v>
      </c>
      <c r="J5" s="8">
        <f>AVERAGE(C5:I5)</f>
        <v>10.12857142857143</v>
      </c>
      <c r="K5" s="8">
        <f>((0.0239*(273+T)*A5)/((U-2)*ti))*(J5-0.0238*SQRT(((273+T)*A5*J5)/(U-2)))</f>
        <v>4.3741486010758539</v>
      </c>
    </row>
    <row r="6" spans="1:19" x14ac:dyDescent="0.35">
      <c r="A6" s="16">
        <f>(49.6+50+50.6)/3</f>
        <v>50.066666666666663</v>
      </c>
      <c r="B6" s="8" t="s">
        <v>18</v>
      </c>
      <c r="C6" s="8">
        <v>6.1</v>
      </c>
      <c r="D6" s="8">
        <v>6.2</v>
      </c>
      <c r="E6" s="8">
        <v>6.3</v>
      </c>
      <c r="F6" s="8">
        <v>4.5999999999999996</v>
      </c>
      <c r="G6" s="8">
        <v>4.5999999999999996</v>
      </c>
      <c r="H6" s="8">
        <v>5.9</v>
      </c>
      <c r="I6" s="8">
        <v>6.2</v>
      </c>
      <c r="J6" s="12">
        <f>AVERAGE(C6:I6)</f>
        <v>5.7000000000000011</v>
      </c>
      <c r="K6" s="12">
        <f>((0.0239*(273+T)*A6)/((U-2)*ti))*(J6-0.0238*SQRT(((273+T)*A6*J6)/(U-2)))</f>
        <v>2.3398225544739755</v>
      </c>
    </row>
    <row r="7" spans="1:19" x14ac:dyDescent="0.35">
      <c r="J7" s="8"/>
      <c r="K7" s="8"/>
      <c r="M7" s="3"/>
    </row>
    <row r="11" spans="1:19" x14ac:dyDescent="0.35">
      <c r="A11" t="s">
        <v>3</v>
      </c>
      <c r="B11" t="s">
        <v>10</v>
      </c>
      <c r="C11" t="s">
        <v>7</v>
      </c>
      <c r="D11" t="s">
        <v>8</v>
      </c>
      <c r="E11" t="s">
        <v>9</v>
      </c>
    </row>
    <row r="12" spans="1:19" x14ac:dyDescent="0.35">
      <c r="A12" t="s">
        <v>16</v>
      </c>
      <c r="B12" s="7">
        <f>K4</f>
        <v>8.5517635461053718</v>
      </c>
      <c r="C12">
        <f>(($C$19)/($C$20))</f>
        <v>0.28409090909090906</v>
      </c>
      <c r="D12">
        <f>C24</f>
        <v>0.68785682323898867</v>
      </c>
      <c r="E12" s="7">
        <f>((((B$21/1000)/(2*A$24))^2)/(B12*10^-12))/(365*24*60*60)</f>
        <v>9.0888650658572612</v>
      </c>
      <c r="G12" s="15">
        <f>IFERROR(B19,C12)</f>
        <v>1.8000000000000002E-3</v>
      </c>
    </row>
    <row r="13" spans="1:19" x14ac:dyDescent="0.35">
      <c r="A13" t="s">
        <v>19</v>
      </c>
      <c r="B13" s="7">
        <f t="shared" ref="B13:B14" si="0">K5</f>
        <v>4.3741486010758539</v>
      </c>
      <c r="C13">
        <f>(($C$19)/($C$20))</f>
        <v>0.28409090909090906</v>
      </c>
      <c r="D13">
        <f>D12</f>
        <v>0.68785682323898867</v>
      </c>
      <c r="E13" s="7">
        <f>((((B$21/1000)/(2*A$24))^2)/(B13*10^-12))/(365*24*60*60)</f>
        <v>17.769360859517093</v>
      </c>
      <c r="I13" s="5"/>
    </row>
    <row r="14" spans="1:19" x14ac:dyDescent="0.35">
      <c r="A14" t="s">
        <v>20</v>
      </c>
      <c r="B14" s="7">
        <f t="shared" si="0"/>
        <v>2.3398225544739755</v>
      </c>
      <c r="C14">
        <f>(($C$19)/($C$20))</f>
        <v>0.28409090909090906</v>
      </c>
      <c r="D14">
        <f t="shared" ref="D14" si="1">D13</f>
        <v>0.68785682323898867</v>
      </c>
      <c r="E14" s="7">
        <f>((((B$21/1000)/(2*A$24))^2)/(B14*10^-12))/(365*24*60*60)</f>
        <v>33.218683526684174</v>
      </c>
      <c r="I14" s="5"/>
    </row>
    <row r="15" spans="1:19" x14ac:dyDescent="0.35">
      <c r="B15" s="7"/>
      <c r="E15" s="7"/>
      <c r="I15" s="5"/>
    </row>
    <row r="16" spans="1:19" x14ac:dyDescent="0.35">
      <c r="E16" s="7"/>
    </row>
    <row r="17" spans="1:9" x14ac:dyDescent="0.35">
      <c r="E17" s="7"/>
    </row>
    <row r="18" spans="1:9" ht="31" x14ac:dyDescent="0.35">
      <c r="A18" s="2" t="s">
        <v>6</v>
      </c>
      <c r="B18">
        <v>0</v>
      </c>
      <c r="C18" t="s">
        <v>14</v>
      </c>
      <c r="D18" t="s">
        <v>15</v>
      </c>
    </row>
    <row r="19" spans="1:9" ht="31" x14ac:dyDescent="0.35">
      <c r="A19" s="2" t="s">
        <v>12</v>
      </c>
      <c r="B19" s="3">
        <f>D19</f>
        <v>1.8000000000000002E-3</v>
      </c>
      <c r="C19" s="1">
        <v>5.0000000000000001E-3</v>
      </c>
      <c r="D19" s="3">
        <f>(C19*(864))/(2400)</f>
        <v>1.8000000000000002E-3</v>
      </c>
      <c r="E19" s="6"/>
    </row>
    <row r="20" spans="1:9" ht="31" x14ac:dyDescent="0.35">
      <c r="A20" s="2" t="s">
        <v>13</v>
      </c>
      <c r="B20" s="1">
        <f>D20</f>
        <v>6.3360000000000005E-3</v>
      </c>
      <c r="C20" s="1">
        <v>1.7600000000000001E-2</v>
      </c>
      <c r="D20" s="3">
        <f>(C20*(864))/(2400)</f>
        <v>6.3360000000000005E-3</v>
      </c>
    </row>
    <row r="21" spans="1:9" ht="46.5" x14ac:dyDescent="0.35">
      <c r="A21" s="2" t="s">
        <v>11</v>
      </c>
      <c r="B21">
        <v>75</v>
      </c>
      <c r="I21" s="4"/>
    </row>
    <row r="24" spans="1:9" x14ac:dyDescent="0.35">
      <c r="A24" s="13">
        <v>0.75743486886147182</v>
      </c>
      <c r="B24">
        <f>_xlfn.ERFC.PRECISE(A24)</f>
        <v>0.28409090129932363</v>
      </c>
      <c r="C24">
        <f>_xlfn.ERFC.PRECISE(C12)</f>
        <v>0.68785682323898867</v>
      </c>
    </row>
    <row r="25" spans="1:9" x14ac:dyDescent="0.35">
      <c r="B25">
        <f>C12</f>
        <v>0.28409090909090906</v>
      </c>
    </row>
    <row r="26" spans="1:9" x14ac:dyDescent="0.35">
      <c r="A26" s="14">
        <f>B19/B20</f>
        <v>0.28409090909090912</v>
      </c>
      <c r="B26">
        <f>B24-B25</f>
        <v>-7.7915854324039913E-9</v>
      </c>
    </row>
    <row r="27" spans="1:9" x14ac:dyDescent="0.35">
      <c r="B27">
        <f>B24+B25</f>
        <v>0.56818181039023274</v>
      </c>
    </row>
  </sheetData>
  <mergeCells count="1">
    <mergeCell ref="C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6EFB1-04A7-437F-B0FF-8539823A25F6}">
  <dimension ref="A1:AG64"/>
  <sheetViews>
    <sheetView zoomScaleNormal="100" workbookViewId="0">
      <pane xSplit="1" ySplit="2" topLeftCell="B30" activePane="bottomRight" state="frozen"/>
      <selection activeCell="J5" sqref="J5:J62"/>
      <selection pane="topRight" activeCell="J5" sqref="J5:J62"/>
      <selection pane="bottomLeft" activeCell="J5" sqref="J5:J62"/>
      <selection pane="bottomRight" activeCell="A57" sqref="A57"/>
    </sheetView>
  </sheetViews>
  <sheetFormatPr defaultColWidth="10.58203125" defaultRowHeight="15.5" x14ac:dyDescent="0.35"/>
  <cols>
    <col min="1" max="1" width="13.5" style="24" bestFit="1" customWidth="1"/>
    <col min="2" max="2" width="16" style="24" customWidth="1"/>
    <col min="3" max="3" width="13.5" style="24" customWidth="1"/>
    <col min="4" max="4" width="13.25" style="24" customWidth="1"/>
    <col min="5" max="5" width="16.5" style="25" customWidth="1"/>
    <col min="6" max="6" width="15.75" style="24" customWidth="1"/>
    <col min="7" max="7" width="15" style="24" customWidth="1"/>
    <col min="8" max="8" width="15.25" style="24" customWidth="1"/>
    <col min="9" max="10" width="16.5" style="24" customWidth="1"/>
    <col min="11" max="11" width="17.08203125" style="24" customWidth="1"/>
    <col min="12" max="12" width="16.25" style="24" customWidth="1"/>
    <col min="13" max="13" width="13.5" style="24" customWidth="1"/>
    <col min="14" max="15" width="11.75" style="24" customWidth="1"/>
    <col min="16" max="17" width="15.75" style="24" customWidth="1"/>
    <col min="18" max="19" width="12.75" customWidth="1"/>
    <col min="20" max="20" width="17" style="13" customWidth="1"/>
    <col min="24" max="27" width="10.58203125" style="24"/>
    <col min="28" max="28" width="10.75" style="24" bestFit="1" customWidth="1"/>
    <col min="29" max="16384" width="10.58203125" style="24"/>
  </cols>
  <sheetData>
    <row r="1" spans="1:33" ht="36" customHeight="1" x14ac:dyDescent="0.35">
      <c r="A1" s="76" t="s">
        <v>29</v>
      </c>
      <c r="B1" s="76" t="s">
        <v>26</v>
      </c>
      <c r="C1" s="75" t="s">
        <v>35</v>
      </c>
      <c r="D1" s="75"/>
      <c r="E1" s="75" t="s">
        <v>34</v>
      </c>
      <c r="F1" s="75" t="s">
        <v>33</v>
      </c>
      <c r="G1" s="75" t="s">
        <v>32</v>
      </c>
      <c r="H1" s="75" t="s">
        <v>31</v>
      </c>
      <c r="I1" s="75" t="s">
        <v>30</v>
      </c>
      <c r="J1" s="75" t="s">
        <v>77</v>
      </c>
      <c r="K1" s="75" t="s">
        <v>36</v>
      </c>
      <c r="L1" s="75" t="s">
        <v>37</v>
      </c>
      <c r="M1" s="75" t="s">
        <v>38</v>
      </c>
      <c r="N1" s="75" t="s">
        <v>40</v>
      </c>
      <c r="O1" s="75" t="s">
        <v>39</v>
      </c>
      <c r="P1" s="75" t="s">
        <v>41</v>
      </c>
      <c r="Q1" s="78" t="s">
        <v>42</v>
      </c>
      <c r="R1" s="77" t="s">
        <v>43</v>
      </c>
      <c r="S1" s="78"/>
      <c r="T1" s="75" t="s">
        <v>48</v>
      </c>
      <c r="U1" s="24"/>
    </row>
    <row r="2" spans="1:33" x14ac:dyDescent="0.35">
      <c r="A2" s="76"/>
      <c r="B2" s="76"/>
      <c r="C2" s="23" t="s">
        <v>27</v>
      </c>
      <c r="D2" s="23" t="s">
        <v>28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9"/>
      <c r="R2" s="77"/>
      <c r="S2" s="79"/>
      <c r="T2" s="75"/>
      <c r="U2" s="24"/>
    </row>
    <row r="3" spans="1:33" x14ac:dyDescent="0.35">
      <c r="A3" s="32"/>
      <c r="B3" s="32"/>
      <c r="C3" s="32"/>
      <c r="D3" s="32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AC3" s="65" t="s">
        <v>76</v>
      </c>
    </row>
    <row r="4" spans="1:33" customFormat="1" x14ac:dyDescent="0.35">
      <c r="A4" s="81" t="s">
        <v>92</v>
      </c>
      <c r="T4" s="13"/>
      <c r="AB4" s="24">
        <f>0.5*AG$9*EXP((AG$6*AG$4*AG$8*E24/1000)/(2*AG$5*296*0.05))*(EXP(-AG$7*E24/1000)*ERFC((E24/1000-2*AG$7*AG$10*10^(-12)*24*3600)/(2*SQRT(AG$10*10^(-12)*24*3600)))+EXP(AG$7*E24/1000)*ERFC((E24/1000+2*AG$7*AG$10*10^(-12)*24*3600)/(2*SQRT(AG$10*10^(-12)*24*3600))))</f>
        <v>3.3640645924549668</v>
      </c>
      <c r="AC4" s="60">
        <f>(AB4-R4)^2</f>
        <v>11.316930582209203</v>
      </c>
      <c r="AF4" s="65" t="s">
        <v>73</v>
      </c>
      <c r="AG4" s="65">
        <f>9.648*10^4</f>
        <v>96480</v>
      </c>
    </row>
    <row r="5" spans="1:33" x14ac:dyDescent="0.35">
      <c r="A5" s="22">
        <v>1</v>
      </c>
      <c r="B5" s="26">
        <v>45176</v>
      </c>
      <c r="C5" s="22">
        <v>0</v>
      </c>
      <c r="D5" s="22">
        <v>2</v>
      </c>
      <c r="E5" s="47">
        <f>AVERAGE(C5:D5)</f>
        <v>1</v>
      </c>
      <c r="F5" s="38">
        <v>109.91</v>
      </c>
      <c r="G5" s="38">
        <v>110.86499999999999</v>
      </c>
      <c r="H5" s="38">
        <v>110.675</v>
      </c>
      <c r="I5" s="34">
        <f>H5-F5</f>
        <v>0.76500000000000057</v>
      </c>
      <c r="J5" s="70">
        <f>100*(G5-H5)/(G5-F5)</f>
        <v>19.895287958114981</v>
      </c>
      <c r="K5" s="38">
        <v>112.18</v>
      </c>
      <c r="L5" s="38">
        <v>265.97500000000002</v>
      </c>
      <c r="M5" s="34">
        <f>L5-K5</f>
        <v>153.79500000000002</v>
      </c>
      <c r="N5" s="58">
        <v>7.86</v>
      </c>
      <c r="O5" s="40">
        <v>131.80000000000001</v>
      </c>
      <c r="P5" s="36">
        <f>((N5/1000)*0.1)*1000</f>
        <v>0.78600000000000014</v>
      </c>
      <c r="Q5" s="36">
        <f>0.1*0.001*1000</f>
        <v>0.1</v>
      </c>
      <c r="R5" s="52">
        <f>IF(ISBLANK(N5),NA(),100*((P5-Q5)/1000)*35.45/I5)</f>
        <v>3.1789150326797375</v>
      </c>
      <c r="S5" s="52"/>
      <c r="T5" s="53"/>
      <c r="U5" s="24"/>
      <c r="AB5" s="24">
        <f t="shared" ref="AB5:AB12" si="0">0.5*AG$9*EXP((AG$6*AG$4*AG$8*E25/1000)/(2*AG$5*296*0.05))*(EXP(-AG$7*E25/1000)*ERFC((E25/1000-2*AG$7*AG$10*10^(-12)*24*3600)/(2*SQRT(AG$10*10^(-12)*24*3600)))+EXP(AG$7*E25/1000)*ERFC((E25/1000+2*AG$7*AG$10*10^(-12)*24*3600)/(2*SQRT(AG$10*10^(-12)*24*3600))))</f>
        <v>3.140729669162345</v>
      </c>
      <c r="AC5" s="60">
        <f t="shared" ref="AC5:AC12" si="1">(AB5-R5)^2</f>
        <v>1.4581219869554136E-3</v>
      </c>
      <c r="AF5" t="s">
        <v>16</v>
      </c>
      <c r="AG5">
        <v>8.3140000000000001</v>
      </c>
    </row>
    <row r="6" spans="1:33" x14ac:dyDescent="0.35">
      <c r="A6" s="22">
        <v>2</v>
      </c>
      <c r="B6" s="26">
        <v>45176</v>
      </c>
      <c r="C6" s="22">
        <v>2</v>
      </c>
      <c r="D6" s="22">
        <v>6</v>
      </c>
      <c r="E6" s="47">
        <f t="shared" ref="E6:E64" si="2">AVERAGE(C6:D6)</f>
        <v>4</v>
      </c>
      <c r="F6" s="38">
        <v>113.20699999999999</v>
      </c>
      <c r="G6" s="38">
        <v>115.622</v>
      </c>
      <c r="H6" s="38">
        <v>115.172</v>
      </c>
      <c r="I6" s="34">
        <f t="shared" ref="I6:I12" si="3">H6-F6</f>
        <v>1.9650000000000034</v>
      </c>
      <c r="J6" s="70">
        <f t="shared" ref="J6:J64" si="4">100*(G6-H6)/(G6-F6)</f>
        <v>18.633540372670875</v>
      </c>
      <c r="K6" s="38">
        <v>113.89</v>
      </c>
      <c r="L6" s="38">
        <v>265.101</v>
      </c>
      <c r="M6" s="34">
        <f t="shared" ref="M6:M12" si="5">L6-K6</f>
        <v>151.21100000000001</v>
      </c>
      <c r="N6" s="58">
        <v>14.842000000000001</v>
      </c>
      <c r="O6" s="40">
        <v>151.80000000000001</v>
      </c>
      <c r="P6" s="36">
        <f t="shared" ref="P6:P64" si="6">((N6/1000)*0.1)*1000</f>
        <v>1.4842000000000002</v>
      </c>
      <c r="Q6" s="36">
        <f t="shared" ref="Q6:Q64" si="7">0.1*0.001*1000</f>
        <v>0.1</v>
      </c>
      <c r="R6" s="52">
        <f t="shared" ref="R6:R64" si="8">IF(ISBLANK(N6),NA(),100*((P6-Q6)/1000)*35.45/I6)</f>
        <v>2.4971954198473245</v>
      </c>
      <c r="S6" s="52"/>
      <c r="T6" s="53"/>
      <c r="U6" s="24"/>
      <c r="AB6" s="24">
        <f t="shared" si="0"/>
        <v>2.5558140347620859</v>
      </c>
      <c r="AC6" s="60">
        <f t="shared" si="1"/>
        <v>3.4361420145250865E-3</v>
      </c>
      <c r="AF6" s="65" t="s">
        <v>74</v>
      </c>
      <c r="AG6" s="24">
        <v>1</v>
      </c>
    </row>
    <row r="7" spans="1:33" x14ac:dyDescent="0.35">
      <c r="A7" s="22">
        <v>3</v>
      </c>
      <c r="B7" s="26">
        <v>45176</v>
      </c>
      <c r="C7" s="22">
        <v>6</v>
      </c>
      <c r="D7" s="22">
        <v>10</v>
      </c>
      <c r="E7" s="47">
        <f t="shared" si="2"/>
        <v>8</v>
      </c>
      <c r="F7" s="38">
        <v>111.30500000000001</v>
      </c>
      <c r="G7" s="38">
        <v>114.09099999999999</v>
      </c>
      <c r="H7" s="38">
        <v>113.551</v>
      </c>
      <c r="I7" s="34">
        <f t="shared" si="3"/>
        <v>2.2459999999999951</v>
      </c>
      <c r="J7" s="70">
        <f t="shared" si="4"/>
        <v>19.382627422828232</v>
      </c>
      <c r="K7" s="38">
        <v>113.678</v>
      </c>
      <c r="L7" s="38">
        <v>265.92200000000003</v>
      </c>
      <c r="M7" s="34">
        <f t="shared" si="5"/>
        <v>152.24400000000003</v>
      </c>
      <c r="N7" s="58">
        <v>13.199</v>
      </c>
      <c r="O7" s="40">
        <v>147.1</v>
      </c>
      <c r="P7" s="36">
        <f t="shared" si="6"/>
        <v>1.3199000000000001</v>
      </c>
      <c r="Q7" s="36">
        <f t="shared" si="7"/>
        <v>0.1</v>
      </c>
      <c r="R7" s="52">
        <f t="shared" si="8"/>
        <v>1.9254432324131832</v>
      </c>
      <c r="S7" s="52"/>
      <c r="T7" s="53"/>
      <c r="U7" s="24"/>
      <c r="AB7" s="24">
        <f t="shared" si="0"/>
        <v>1.9417537922763153</v>
      </c>
      <c r="AC7" s="60">
        <f t="shared" si="1"/>
        <v>2.660343630488166E-4</v>
      </c>
      <c r="AF7" s="65" t="s">
        <v>72</v>
      </c>
      <c r="AG7" s="68">
        <f>SQRT(((AG6*AG4*AG$8)/(2*AG5*296*0.05))^2+AG11/(AG10*10^(-12)))</f>
        <v>5557.3202944333134</v>
      </c>
    </row>
    <row r="8" spans="1:33" x14ac:dyDescent="0.35">
      <c r="A8" s="22">
        <v>4</v>
      </c>
      <c r="B8" s="26">
        <v>45176</v>
      </c>
      <c r="C8" s="22">
        <v>10</v>
      </c>
      <c r="D8" s="22">
        <v>14</v>
      </c>
      <c r="E8" s="47">
        <f t="shared" si="2"/>
        <v>12</v>
      </c>
      <c r="F8" s="38">
        <v>113.82599999999999</v>
      </c>
      <c r="G8" s="38">
        <v>116.245</v>
      </c>
      <c r="H8" s="38">
        <v>115.777</v>
      </c>
      <c r="I8" s="34">
        <f t="shared" si="3"/>
        <v>1.9510000000000076</v>
      </c>
      <c r="J8" s="70">
        <f t="shared" si="4"/>
        <v>19.346837536172028</v>
      </c>
      <c r="K8" s="38">
        <v>113.569</v>
      </c>
      <c r="L8" s="38">
        <v>267.77999999999997</v>
      </c>
      <c r="M8" s="34">
        <f t="shared" si="5"/>
        <v>154.21099999999996</v>
      </c>
      <c r="N8" s="58">
        <v>9.3490000000000002</v>
      </c>
      <c r="O8" s="40">
        <v>145.30000000000001</v>
      </c>
      <c r="P8" s="36">
        <f t="shared" si="6"/>
        <v>0.93490000000000006</v>
      </c>
      <c r="Q8" s="36">
        <f t="shared" si="7"/>
        <v>0.1</v>
      </c>
      <c r="R8" s="52">
        <f t="shared" si="8"/>
        <v>1.5170274218349507</v>
      </c>
      <c r="S8" s="52"/>
      <c r="T8" s="53"/>
      <c r="U8" s="24"/>
      <c r="AB8" s="24">
        <f t="shared" si="0"/>
        <v>1.473966230369167</v>
      </c>
      <c r="AC8" s="60">
        <f t="shared" si="1"/>
        <v>1.8542662104528819E-3</v>
      </c>
      <c r="AF8" s="65" t="s">
        <v>75</v>
      </c>
      <c r="AG8" s="24">
        <v>14</v>
      </c>
    </row>
    <row r="9" spans="1:33" x14ac:dyDescent="0.35">
      <c r="A9" s="22">
        <v>5</v>
      </c>
      <c r="B9" s="26">
        <v>45176</v>
      </c>
      <c r="C9" s="22">
        <v>14</v>
      </c>
      <c r="D9" s="22">
        <v>18</v>
      </c>
      <c r="E9" s="47">
        <f t="shared" si="2"/>
        <v>16</v>
      </c>
      <c r="F9" s="38">
        <v>114.417</v>
      </c>
      <c r="G9" s="38">
        <v>116.81699999999999</v>
      </c>
      <c r="H9" s="38">
        <v>116.373</v>
      </c>
      <c r="I9" s="34">
        <f t="shared" si="3"/>
        <v>1.9560000000000031</v>
      </c>
      <c r="J9" s="70">
        <f t="shared" si="4"/>
        <v>18.499999999999581</v>
      </c>
      <c r="K9" s="38">
        <v>107.378</v>
      </c>
      <c r="L9" s="38">
        <v>263.72399999999999</v>
      </c>
      <c r="M9" s="34">
        <f t="shared" si="5"/>
        <v>156.346</v>
      </c>
      <c r="N9" s="58">
        <v>5.976</v>
      </c>
      <c r="O9" s="40">
        <v>60.6</v>
      </c>
      <c r="P9" s="36">
        <f t="shared" si="6"/>
        <v>0.59760000000000013</v>
      </c>
      <c r="Q9" s="36">
        <f t="shared" si="7"/>
        <v>0.1</v>
      </c>
      <c r="R9" s="52">
        <f t="shared" si="8"/>
        <v>0.90183640081799499</v>
      </c>
      <c r="S9" s="52"/>
      <c r="T9" s="53"/>
      <c r="U9" s="24"/>
      <c r="AB9" s="24">
        <f t="shared" si="0"/>
        <v>0.90420817988133206</v>
      </c>
      <c r="AC9" s="60">
        <f t="shared" si="1"/>
        <v>5.6253359252840982E-6</v>
      </c>
      <c r="AF9" s="65" t="s">
        <v>69</v>
      </c>
      <c r="AG9" s="37">
        <v>3.3640645924549668</v>
      </c>
    </row>
    <row r="10" spans="1:33" x14ac:dyDescent="0.35">
      <c r="A10" s="22">
        <v>6</v>
      </c>
      <c r="B10" s="26">
        <v>45176</v>
      </c>
      <c r="C10" s="22">
        <v>18</v>
      </c>
      <c r="D10" s="22">
        <v>22</v>
      </c>
      <c r="E10" s="47">
        <f>AVERAGE(C10:D10)</f>
        <v>20</v>
      </c>
      <c r="F10" s="38">
        <v>113.3</v>
      </c>
      <c r="G10" s="38">
        <v>115.907</v>
      </c>
      <c r="H10" s="38">
        <v>115.429</v>
      </c>
      <c r="I10" s="34">
        <f t="shared" si="3"/>
        <v>2.1290000000000049</v>
      </c>
      <c r="J10" s="70">
        <f t="shared" si="4"/>
        <v>18.335251246643441</v>
      </c>
      <c r="K10" s="38">
        <v>114.29</v>
      </c>
      <c r="L10" s="38">
        <v>264.62799999999999</v>
      </c>
      <c r="M10" s="34">
        <f t="shared" si="5"/>
        <v>150.33799999999997</v>
      </c>
      <c r="N10" s="58">
        <v>1.4359999999999999</v>
      </c>
      <c r="O10" s="40">
        <v>56.4</v>
      </c>
      <c r="P10" s="36">
        <f t="shared" si="6"/>
        <v>0.14360000000000001</v>
      </c>
      <c r="Q10" s="36">
        <f t="shared" si="7"/>
        <v>0.1</v>
      </c>
      <c r="R10" s="52">
        <f t="shared" si="8"/>
        <v>7.2598403006105983E-2</v>
      </c>
      <c r="S10" s="52"/>
      <c r="T10" s="53"/>
      <c r="U10" s="24"/>
      <c r="AB10" s="24">
        <f t="shared" si="0"/>
        <v>6.8714063824248856E-2</v>
      </c>
      <c r="AC10" s="60">
        <f t="shared" si="1"/>
        <v>1.5088090879710496E-5</v>
      </c>
      <c r="AF10" s="65" t="s">
        <v>70</v>
      </c>
      <c r="AG10" s="66">
        <v>18.159216290422165</v>
      </c>
    </row>
    <row r="11" spans="1:33" x14ac:dyDescent="0.35">
      <c r="A11" s="22">
        <v>7</v>
      </c>
      <c r="B11" s="26">
        <v>45176</v>
      </c>
      <c r="C11" s="22">
        <v>22</v>
      </c>
      <c r="D11" s="22">
        <v>26</v>
      </c>
      <c r="E11" s="47">
        <f t="shared" si="2"/>
        <v>24</v>
      </c>
      <c r="F11" s="38">
        <v>113.117</v>
      </c>
      <c r="G11" s="38">
        <v>115.36</v>
      </c>
      <c r="H11" s="38">
        <v>114.994</v>
      </c>
      <c r="I11" s="34">
        <f t="shared" si="3"/>
        <v>1.8769999999999953</v>
      </c>
      <c r="J11" s="70">
        <f t="shared" si="4"/>
        <v>16.317432010699978</v>
      </c>
      <c r="K11" s="38">
        <v>114.345</v>
      </c>
      <c r="L11" s="38">
        <v>265.83499999999998</v>
      </c>
      <c r="M11" s="34">
        <f t="shared" si="5"/>
        <v>151.48999999999998</v>
      </c>
      <c r="N11" s="58">
        <v>1.159</v>
      </c>
      <c r="O11" s="40">
        <v>93.7</v>
      </c>
      <c r="P11" s="36">
        <f t="shared" si="6"/>
        <v>0.11590000000000002</v>
      </c>
      <c r="Q11" s="36">
        <f t="shared" si="7"/>
        <v>0.1</v>
      </c>
      <c r="R11" s="52">
        <f t="shared" si="8"/>
        <v>3.0029568460309103E-2</v>
      </c>
      <c r="S11" s="52"/>
      <c r="T11" s="53"/>
      <c r="U11" s="24"/>
      <c r="AB11" s="24">
        <f t="shared" si="0"/>
        <v>8.0149074753004142E-5</v>
      </c>
      <c r="AC11" s="60">
        <f t="shared" si="1"/>
        <v>8.9696772153192343E-4</v>
      </c>
      <c r="AF11" s="65" t="s">
        <v>71</v>
      </c>
      <c r="AG11" s="67">
        <v>1.3779194110370962E-5</v>
      </c>
    </row>
    <row r="12" spans="1:33" x14ac:dyDescent="0.35">
      <c r="A12" s="22">
        <v>8</v>
      </c>
      <c r="B12" s="26">
        <v>45176</v>
      </c>
      <c r="C12" s="22">
        <v>26</v>
      </c>
      <c r="D12" s="22">
        <v>30</v>
      </c>
      <c r="E12" s="47">
        <f t="shared" si="2"/>
        <v>28</v>
      </c>
      <c r="F12" s="38">
        <v>112.947</v>
      </c>
      <c r="G12" s="38">
        <v>115.46599999999999</v>
      </c>
      <c r="H12" s="38">
        <v>115.008</v>
      </c>
      <c r="I12" s="34">
        <f t="shared" si="3"/>
        <v>2.0609999999999928</v>
      </c>
      <c r="J12" s="70">
        <f t="shared" si="4"/>
        <v>18.181818181818183</v>
      </c>
      <c r="K12" s="38">
        <v>115.55500000000001</v>
      </c>
      <c r="L12" s="38">
        <v>267.20400000000001</v>
      </c>
      <c r="M12" s="34">
        <f t="shared" si="5"/>
        <v>151.649</v>
      </c>
      <c r="N12" s="58">
        <v>1.2769999999999999</v>
      </c>
      <c r="O12" s="40">
        <v>60.9</v>
      </c>
      <c r="P12" s="36">
        <f t="shared" si="6"/>
        <v>0.12769999999999998</v>
      </c>
      <c r="Q12" s="36">
        <f t="shared" si="7"/>
        <v>0.1</v>
      </c>
      <c r="R12" s="52">
        <f t="shared" si="8"/>
        <v>4.7645075206210703E-2</v>
      </c>
      <c r="S12" s="52"/>
      <c r="T12" s="53"/>
      <c r="U12" s="24"/>
      <c r="AB12" s="24">
        <f t="shared" si="0"/>
        <v>7.5709672223083319E-10</v>
      </c>
      <c r="AC12" s="60">
        <f t="shared" si="1"/>
        <v>2.2700531192616138E-3</v>
      </c>
    </row>
    <row r="13" spans="1:33" customFormat="1" x14ac:dyDescent="0.35">
      <c r="E13" s="48"/>
      <c r="F13" s="14"/>
      <c r="G13" s="14"/>
      <c r="H13" s="14"/>
      <c r="I13" s="14"/>
      <c r="J13" s="71"/>
      <c r="K13" s="14"/>
      <c r="L13" s="14"/>
      <c r="M13" s="14"/>
      <c r="N13" s="7"/>
      <c r="T13" s="54"/>
      <c r="AB13" s="24"/>
      <c r="AC13" s="69">
        <f>SUM(AC5:AC12)</f>
        <v>1.0202298842580731E-2</v>
      </c>
      <c r="AF13" s="24"/>
      <c r="AG13" s="24"/>
    </row>
    <row r="14" spans="1:33" customFormat="1" x14ac:dyDescent="0.35">
      <c r="A14" s="81" t="s">
        <v>93</v>
      </c>
      <c r="E14" s="48"/>
      <c r="F14" s="14"/>
      <c r="G14" s="14"/>
      <c r="H14" s="14"/>
      <c r="I14" s="14"/>
      <c r="J14" s="71"/>
      <c r="K14" s="14"/>
      <c r="L14" s="14"/>
      <c r="M14" s="14"/>
      <c r="N14" s="7"/>
      <c r="T14" s="54" t="s">
        <v>57</v>
      </c>
      <c r="AB14" s="24"/>
      <c r="AF14" s="24"/>
      <c r="AG14" s="24"/>
    </row>
    <row r="15" spans="1:33" x14ac:dyDescent="0.35">
      <c r="A15" s="22">
        <v>1</v>
      </c>
      <c r="B15" s="26">
        <v>45176</v>
      </c>
      <c r="C15" s="22">
        <v>0</v>
      </c>
      <c r="D15" s="22">
        <v>2</v>
      </c>
      <c r="E15" s="47">
        <f t="shared" si="2"/>
        <v>1</v>
      </c>
      <c r="F15" s="38">
        <v>112.4</v>
      </c>
      <c r="G15" s="38">
        <v>114.575</v>
      </c>
      <c r="H15" s="38">
        <v>114.14700000000001</v>
      </c>
      <c r="I15" s="34">
        <f>H15-F15</f>
        <v>1.7469999999999999</v>
      </c>
      <c r="J15" s="70">
        <f t="shared" si="4"/>
        <v>19.678160919540129</v>
      </c>
      <c r="K15" s="38">
        <f>K5</f>
        <v>112.18</v>
      </c>
      <c r="L15" s="38">
        <v>264.35500000000002</v>
      </c>
      <c r="M15" s="34">
        <f>L15-K15</f>
        <v>152.17500000000001</v>
      </c>
      <c r="N15" s="59">
        <v>14.738</v>
      </c>
      <c r="O15" s="40">
        <v>136.19999999999999</v>
      </c>
      <c r="P15" s="36">
        <f t="shared" si="6"/>
        <v>1.4738</v>
      </c>
      <c r="Q15" s="36">
        <v>0</v>
      </c>
      <c r="R15" s="52">
        <f t="shared" si="8"/>
        <v>2.9906244991413855</v>
      </c>
      <c r="S15" s="52">
        <f>R5</f>
        <v>3.1789150326797375</v>
      </c>
      <c r="T15" s="53">
        <f>IF(S15="#N/A",NA(),AVERAGEIF(R15:S15,"&lt;&gt;#N/A"))</f>
        <v>3.0847697659105613</v>
      </c>
      <c r="U15" s="24"/>
    </row>
    <row r="16" spans="1:33" x14ac:dyDescent="0.35">
      <c r="A16" s="22">
        <v>2</v>
      </c>
      <c r="B16" s="26">
        <v>45176</v>
      </c>
      <c r="C16" s="22">
        <v>2</v>
      </c>
      <c r="D16" s="22">
        <v>6</v>
      </c>
      <c r="E16" s="47">
        <f>AVERAGE(C16:D16)</f>
        <v>4</v>
      </c>
      <c r="F16" s="38">
        <v>113.498</v>
      </c>
      <c r="G16" s="38">
        <v>116.102</v>
      </c>
      <c r="H16" s="38">
        <v>115.604</v>
      </c>
      <c r="I16" s="34">
        <f t="shared" ref="I16:I22" si="9">H16-F16</f>
        <v>2.1059999999999945</v>
      </c>
      <c r="J16" s="70">
        <f t="shared" si="4"/>
        <v>19.124423963133825</v>
      </c>
      <c r="K16" s="38">
        <f t="shared" ref="K16:K22" si="10">K6</f>
        <v>113.89</v>
      </c>
      <c r="L16" s="38">
        <v>264.67200000000003</v>
      </c>
      <c r="M16" s="34">
        <f t="shared" ref="M16:M22" si="11">L16-K16</f>
        <v>150.78200000000004</v>
      </c>
      <c r="N16" s="58">
        <v>13.388999999999999</v>
      </c>
      <c r="O16" s="40">
        <v>142.4</v>
      </c>
      <c r="P16" s="36">
        <f t="shared" si="6"/>
        <v>1.3389</v>
      </c>
      <c r="Q16" s="36">
        <v>0</v>
      </c>
      <c r="R16" s="52">
        <f t="shared" si="8"/>
        <v>2.2537514245014307</v>
      </c>
      <c r="S16" s="52">
        <f t="shared" ref="S16:S22" si="12">R6</f>
        <v>2.4971954198473245</v>
      </c>
      <c r="T16" s="53">
        <f t="shared" ref="T16:T22" si="13">IF(S16="#N/A",NA(),AVERAGEIF(R16:S16,"&lt;&gt;#N/A"))</f>
        <v>2.3754734221743776</v>
      </c>
      <c r="U16" s="24"/>
    </row>
    <row r="17" spans="1:33" x14ac:dyDescent="0.35">
      <c r="A17" s="22">
        <v>3</v>
      </c>
      <c r="B17" s="26">
        <v>45176</v>
      </c>
      <c r="C17" s="22">
        <v>6</v>
      </c>
      <c r="D17" s="22">
        <v>10</v>
      </c>
      <c r="E17" s="47">
        <f t="shared" si="2"/>
        <v>8</v>
      </c>
      <c r="F17" s="38">
        <v>110.83199999999999</v>
      </c>
      <c r="G17" s="38">
        <v>113.324</v>
      </c>
      <c r="H17" s="38">
        <v>112.849</v>
      </c>
      <c r="I17" s="34">
        <f t="shared" si="9"/>
        <v>2.0170000000000101</v>
      </c>
      <c r="J17" s="70">
        <f t="shared" si="4"/>
        <v>19.060995184590428</v>
      </c>
      <c r="K17" s="38">
        <f t="shared" si="10"/>
        <v>113.678</v>
      </c>
      <c r="L17" s="38">
        <v>264.78699999999998</v>
      </c>
      <c r="M17" s="34">
        <f t="shared" si="11"/>
        <v>151.10899999999998</v>
      </c>
      <c r="N17" s="58">
        <v>10.493</v>
      </c>
      <c r="O17" s="40">
        <v>23.5</v>
      </c>
      <c r="P17" s="36">
        <f t="shared" si="6"/>
        <v>1.0493000000000001</v>
      </c>
      <c r="Q17" s="36">
        <v>0</v>
      </c>
      <c r="R17" s="52">
        <f t="shared" si="8"/>
        <v>1.8442084779375223</v>
      </c>
      <c r="S17" s="52">
        <f t="shared" si="12"/>
        <v>1.9254432324131832</v>
      </c>
      <c r="T17" s="53">
        <f t="shared" si="13"/>
        <v>1.8848258551753527</v>
      </c>
      <c r="U17" s="24"/>
    </row>
    <row r="18" spans="1:33" x14ac:dyDescent="0.35">
      <c r="A18" s="22">
        <v>4</v>
      </c>
      <c r="B18" s="26">
        <v>45176</v>
      </c>
      <c r="C18" s="22">
        <v>10</v>
      </c>
      <c r="D18" s="22">
        <v>14</v>
      </c>
      <c r="E18" s="47">
        <f t="shared" si="2"/>
        <v>12</v>
      </c>
      <c r="F18" s="38">
        <v>114.489</v>
      </c>
      <c r="G18" s="38">
        <v>116.652</v>
      </c>
      <c r="H18" s="38">
        <v>116.26900000000001</v>
      </c>
      <c r="I18" s="34">
        <f t="shared" si="9"/>
        <v>1.7800000000000011</v>
      </c>
      <c r="J18" s="70">
        <f t="shared" si="4"/>
        <v>17.706888580674811</v>
      </c>
      <c r="K18" s="38">
        <f t="shared" si="10"/>
        <v>113.569</v>
      </c>
      <c r="L18" s="38">
        <v>267.12099999999998</v>
      </c>
      <c r="M18" s="34">
        <f t="shared" si="11"/>
        <v>153.55199999999996</v>
      </c>
      <c r="N18" s="58">
        <v>6.2859999999999996</v>
      </c>
      <c r="O18" s="40">
        <v>142.69999999999999</v>
      </c>
      <c r="P18" s="36">
        <f t="shared" si="6"/>
        <v>0.62860000000000005</v>
      </c>
      <c r="Q18" s="36">
        <v>0</v>
      </c>
      <c r="R18" s="52">
        <f t="shared" si="8"/>
        <v>1.2519028089887636</v>
      </c>
      <c r="S18" s="52">
        <f t="shared" si="12"/>
        <v>1.5170274218349507</v>
      </c>
      <c r="T18" s="53">
        <f t="shared" si="13"/>
        <v>1.384465115411857</v>
      </c>
      <c r="U18" s="24"/>
    </row>
    <row r="19" spans="1:33" x14ac:dyDescent="0.35">
      <c r="A19" s="22">
        <v>5</v>
      </c>
      <c r="B19" s="26">
        <v>45176</v>
      </c>
      <c r="C19" s="22">
        <v>14</v>
      </c>
      <c r="D19" s="22">
        <v>18</v>
      </c>
      <c r="E19" s="47">
        <f t="shared" si="2"/>
        <v>16</v>
      </c>
      <c r="F19" s="38">
        <v>106.87</v>
      </c>
      <c r="G19" s="38">
        <v>109.288</v>
      </c>
      <c r="H19" s="38">
        <v>108.84399999999999</v>
      </c>
      <c r="I19" s="34">
        <f t="shared" si="9"/>
        <v>1.9739999999999895</v>
      </c>
      <c r="J19" s="70">
        <f t="shared" si="4"/>
        <v>18.362282878412078</v>
      </c>
      <c r="K19" s="38">
        <f t="shared" si="10"/>
        <v>107.378</v>
      </c>
      <c r="L19" s="38">
        <v>261.32</v>
      </c>
      <c r="M19" s="34">
        <f t="shared" si="11"/>
        <v>153.94200000000001</v>
      </c>
      <c r="N19" s="58">
        <v>1.177</v>
      </c>
      <c r="O19" s="40">
        <v>103.4</v>
      </c>
      <c r="P19" s="36">
        <f t="shared" si="6"/>
        <v>0.11770000000000001</v>
      </c>
      <c r="Q19" s="36">
        <v>0</v>
      </c>
      <c r="R19" s="52">
        <f t="shared" si="8"/>
        <v>0.21137107396150065</v>
      </c>
      <c r="S19" s="52">
        <f t="shared" si="12"/>
        <v>0.90183640081799499</v>
      </c>
      <c r="T19" s="53">
        <f t="shared" si="13"/>
        <v>0.55660373738974778</v>
      </c>
      <c r="U19" s="24"/>
    </row>
    <row r="20" spans="1:33" x14ac:dyDescent="0.35">
      <c r="A20" s="22">
        <v>6</v>
      </c>
      <c r="B20" s="26">
        <v>45176</v>
      </c>
      <c r="C20" s="22">
        <v>18</v>
      </c>
      <c r="D20" s="22">
        <v>22</v>
      </c>
      <c r="E20" s="47">
        <f t="shared" si="2"/>
        <v>20</v>
      </c>
      <c r="F20" s="38">
        <v>105.83799999999999</v>
      </c>
      <c r="G20" s="38">
        <v>108.146</v>
      </c>
      <c r="H20" s="38">
        <v>107.744</v>
      </c>
      <c r="I20" s="34">
        <f t="shared" si="9"/>
        <v>1.9060000000000059</v>
      </c>
      <c r="J20" s="70">
        <f t="shared" si="4"/>
        <v>17.417677642980927</v>
      </c>
      <c r="K20" s="38">
        <f t="shared" si="10"/>
        <v>114.29</v>
      </c>
      <c r="L20" s="38">
        <v>263.803</v>
      </c>
      <c r="M20" s="34">
        <f t="shared" si="11"/>
        <v>149.51299999999998</v>
      </c>
      <c r="N20" s="58">
        <v>1.26</v>
      </c>
      <c r="O20" s="40">
        <v>55.1</v>
      </c>
      <c r="P20" s="36">
        <f t="shared" si="6"/>
        <v>0.126</v>
      </c>
      <c r="Q20" s="36">
        <f t="shared" si="7"/>
        <v>0.1</v>
      </c>
      <c r="R20" s="52">
        <f t="shared" si="8"/>
        <v>4.8357817418677701E-2</v>
      </c>
      <c r="S20" s="52">
        <f t="shared" si="12"/>
        <v>7.2598403006105983E-2</v>
      </c>
      <c r="T20" s="53">
        <f t="shared" si="13"/>
        <v>6.0478110212391842E-2</v>
      </c>
      <c r="U20" s="24"/>
    </row>
    <row r="21" spans="1:33" x14ac:dyDescent="0.35">
      <c r="A21" s="22">
        <v>7</v>
      </c>
      <c r="B21" s="26">
        <v>45176</v>
      </c>
      <c r="C21" s="22">
        <v>22</v>
      </c>
      <c r="D21" s="22">
        <v>26</v>
      </c>
      <c r="E21" s="47">
        <f t="shared" si="2"/>
        <v>24</v>
      </c>
      <c r="F21" s="38">
        <v>97.635000000000005</v>
      </c>
      <c r="G21" s="38">
        <v>100.416</v>
      </c>
      <c r="H21" s="38">
        <v>99.909000000000006</v>
      </c>
      <c r="I21" s="34">
        <f t="shared" si="9"/>
        <v>2.2740000000000009</v>
      </c>
      <c r="J21" s="70">
        <f t="shared" si="4"/>
        <v>18.23085221143446</v>
      </c>
      <c r="K21" s="38">
        <f t="shared" si="10"/>
        <v>114.345</v>
      </c>
      <c r="L21" s="38">
        <v>266.13600000000002</v>
      </c>
      <c r="M21" s="34">
        <f t="shared" si="11"/>
        <v>151.79100000000003</v>
      </c>
      <c r="N21" s="58">
        <v>1.282</v>
      </c>
      <c r="O21" s="40">
        <v>51.9</v>
      </c>
      <c r="P21" s="36">
        <f t="shared" si="6"/>
        <v>0.12820000000000001</v>
      </c>
      <c r="Q21" s="36">
        <f t="shared" si="7"/>
        <v>0.1</v>
      </c>
      <c r="R21" s="52">
        <f t="shared" si="8"/>
        <v>4.3961741424802109E-2</v>
      </c>
      <c r="S21" s="52">
        <f t="shared" si="12"/>
        <v>3.0029568460309103E-2</v>
      </c>
      <c r="T21" s="53">
        <f t="shared" si="13"/>
        <v>3.6995654942555606E-2</v>
      </c>
      <c r="U21" s="24"/>
    </row>
    <row r="22" spans="1:33" x14ac:dyDescent="0.35">
      <c r="A22" s="22">
        <v>8</v>
      </c>
      <c r="B22" s="26">
        <v>45176</v>
      </c>
      <c r="C22" s="22">
        <v>26</v>
      </c>
      <c r="D22" s="22">
        <v>30</v>
      </c>
      <c r="E22" s="47">
        <f t="shared" si="2"/>
        <v>28</v>
      </c>
      <c r="F22" s="38">
        <v>119.703</v>
      </c>
      <c r="G22" s="38">
        <v>121.878</v>
      </c>
      <c r="H22" s="38">
        <v>121.48399999999999</v>
      </c>
      <c r="I22" s="34">
        <f t="shared" si="9"/>
        <v>1.7809999999999917</v>
      </c>
      <c r="J22" s="70">
        <f t="shared" si="4"/>
        <v>18.114942528735906</v>
      </c>
      <c r="K22" s="38">
        <f t="shared" si="10"/>
        <v>115.55500000000001</v>
      </c>
      <c r="L22" s="38">
        <v>266.29500000000002</v>
      </c>
      <c r="M22" s="34">
        <f t="shared" si="11"/>
        <v>150.74</v>
      </c>
      <c r="N22" s="58">
        <v>1.2250000000000001</v>
      </c>
      <c r="O22" s="40">
        <v>64.7</v>
      </c>
      <c r="P22" s="36">
        <f t="shared" si="6"/>
        <v>0.12250000000000003</v>
      </c>
      <c r="Q22" s="36">
        <f t="shared" si="7"/>
        <v>0.1</v>
      </c>
      <c r="R22" s="52">
        <f t="shared" si="8"/>
        <v>4.4785233015160276E-2</v>
      </c>
      <c r="S22" s="52">
        <f t="shared" si="12"/>
        <v>4.7645075206210703E-2</v>
      </c>
      <c r="T22" s="53">
        <f t="shared" si="13"/>
        <v>4.621515411068549E-2</v>
      </c>
      <c r="U22" s="24"/>
    </row>
    <row r="23" spans="1:33" x14ac:dyDescent="0.35">
      <c r="E23" s="49"/>
      <c r="F23" s="37"/>
      <c r="G23" s="37"/>
      <c r="H23" s="37"/>
      <c r="I23" s="37"/>
      <c r="J23" s="71"/>
      <c r="K23" s="37"/>
      <c r="L23" s="37"/>
      <c r="M23" s="37"/>
      <c r="N23" s="60"/>
      <c r="O23"/>
      <c r="P23"/>
      <c r="Q23"/>
      <c r="T23" s="54"/>
      <c r="AC23" s="65" t="s">
        <v>76</v>
      </c>
    </row>
    <row r="24" spans="1:33" x14ac:dyDescent="0.35">
      <c r="A24" s="81" t="s">
        <v>94</v>
      </c>
      <c r="E24" s="49"/>
      <c r="F24" s="37"/>
      <c r="G24" s="37"/>
      <c r="H24" s="37"/>
      <c r="I24" s="37"/>
      <c r="J24" s="71"/>
      <c r="K24" s="37"/>
      <c r="L24" s="37"/>
      <c r="M24" s="37"/>
      <c r="N24" s="61"/>
      <c r="O24"/>
      <c r="P24"/>
      <c r="Q24"/>
      <c r="T24" s="54"/>
      <c r="AB24" s="24">
        <f>0.5*AG$29*EXP((AG$26*AG$24*AG$28*E35/1000)/(2*AG$25*296*0.05))*(EXP(-AG$27*E35/1000)*ERFC((E35/1000-2*AG$27*AG$30*10^(-12)*24*3600)/(2*SQRT(AG$30*10^(-12)*24*3600)))+EXP(AG$27*E35/1000)*ERFC((E35/1000+2*AG$27*AG$30*10^(-12)*24*3600)/(2*SQRT(AG$30*10^(-12)*24*3600))))</f>
        <v>3.2080531424091605</v>
      </c>
      <c r="AC24" s="60">
        <f>(AB24-R35)^2</f>
        <v>10.291604964521289</v>
      </c>
      <c r="AD24"/>
      <c r="AE24"/>
      <c r="AF24" s="65" t="s">
        <v>73</v>
      </c>
      <c r="AG24" s="65">
        <f>9.648*10^4</f>
        <v>96480</v>
      </c>
    </row>
    <row r="25" spans="1:33" x14ac:dyDescent="0.35">
      <c r="A25" s="22">
        <v>1</v>
      </c>
      <c r="B25" s="26">
        <v>45181</v>
      </c>
      <c r="C25" s="22">
        <v>0</v>
      </c>
      <c r="D25" s="22">
        <v>2</v>
      </c>
      <c r="E25" s="47">
        <f t="shared" si="2"/>
        <v>1</v>
      </c>
      <c r="F25" s="38">
        <f>F5</f>
        <v>109.91</v>
      </c>
      <c r="G25" s="38">
        <v>111.02</v>
      </c>
      <c r="H25" s="38">
        <v>110.887</v>
      </c>
      <c r="I25" s="34">
        <f>H25-F25</f>
        <v>0.97700000000000387</v>
      </c>
      <c r="J25" s="70">
        <f t="shared" si="4"/>
        <v>11.981981981981589</v>
      </c>
      <c r="K25" s="38">
        <f>K5</f>
        <v>112.18</v>
      </c>
      <c r="L25" s="38">
        <v>264.86200000000002</v>
      </c>
      <c r="M25" s="34">
        <f>L25-K25</f>
        <v>152.68200000000002</v>
      </c>
      <c r="N25" s="59">
        <v>8.2029999999999994</v>
      </c>
      <c r="O25" s="40">
        <v>131.1</v>
      </c>
      <c r="P25" s="36">
        <f t="shared" si="6"/>
        <v>0.82030000000000003</v>
      </c>
      <c r="Q25" s="36">
        <v>0</v>
      </c>
      <c r="R25" s="52">
        <f t="shared" si="8"/>
        <v>2.9764211873080746</v>
      </c>
      <c r="S25" s="52"/>
      <c r="T25" s="53"/>
      <c r="U25" s="24"/>
      <c r="AB25" s="24">
        <f t="shared" ref="AB25:AB31" si="14">0.5*AG$29*EXP((AG$26*AG$24*AG$28*E36/1000)/(2*AG$25*296*0.05))*(EXP(-AG$27*E36/1000)*ERFC((E36/1000-2*AG$27*AG$30*10^(-12)*24*3600)/(2*SQRT(AG$30*10^(-12)*24*3600)))+EXP(AG$27*E36/1000)*ERFC((E36/1000+2*AG$27*AG$30*10^(-12)*24*3600)/(2*SQRT(AG$30*10^(-12)*24*3600))))</f>
        <v>3.0118275616086785</v>
      </c>
      <c r="AC25" s="60">
        <f>(AB25-R36)^2</f>
        <v>5.1850347058080892E-6</v>
      </c>
      <c r="AF25" t="s">
        <v>16</v>
      </c>
      <c r="AG25">
        <v>8.3140000000000001</v>
      </c>
    </row>
    <row r="26" spans="1:33" x14ac:dyDescent="0.35">
      <c r="A26" s="22">
        <v>2</v>
      </c>
      <c r="B26" s="26">
        <v>45181</v>
      </c>
      <c r="C26" s="22">
        <v>2</v>
      </c>
      <c r="D26" s="22">
        <v>6</v>
      </c>
      <c r="E26" s="47">
        <f t="shared" si="2"/>
        <v>4</v>
      </c>
      <c r="F26" s="38">
        <f t="shared" ref="F26:F31" si="15">F6</f>
        <v>113.20699999999999</v>
      </c>
      <c r="G26" s="38">
        <v>115.621</v>
      </c>
      <c r="H26" s="38">
        <v>115.167</v>
      </c>
      <c r="I26" s="34">
        <f t="shared" ref="I26:I33" si="16">H26-F26</f>
        <v>1.960000000000008</v>
      </c>
      <c r="J26" s="70">
        <f t="shared" si="4"/>
        <v>18.806959403479421</v>
      </c>
      <c r="K26" s="38">
        <f t="shared" ref="K26:K31" si="17">K6</f>
        <v>113.89</v>
      </c>
      <c r="L26" s="38">
        <v>263.90800000000002</v>
      </c>
      <c r="M26" s="34">
        <f t="shared" ref="M26:M33" si="18">L26-K26</f>
        <v>150.01800000000003</v>
      </c>
      <c r="N26" s="58">
        <v>13.22</v>
      </c>
      <c r="O26" s="40">
        <v>147.9</v>
      </c>
      <c r="P26" s="36">
        <f t="shared" si="6"/>
        <v>1.3220000000000003</v>
      </c>
      <c r="Q26" s="36">
        <v>0</v>
      </c>
      <c r="R26" s="52">
        <f t="shared" si="8"/>
        <v>2.3910663265306034</v>
      </c>
      <c r="S26" s="52"/>
      <c r="T26" s="53"/>
      <c r="U26" s="24"/>
      <c r="AB26" s="24">
        <f t="shared" si="14"/>
        <v>2.4922737962633352</v>
      </c>
      <c r="AC26" s="60">
        <f>(AB26-R37)^2</f>
        <v>1.1479714933065328E-3</v>
      </c>
      <c r="AF26" s="65" t="s">
        <v>74</v>
      </c>
      <c r="AG26" s="24">
        <v>1</v>
      </c>
    </row>
    <row r="27" spans="1:33" x14ac:dyDescent="0.35">
      <c r="A27" s="22">
        <v>3</v>
      </c>
      <c r="B27" s="26">
        <v>45181</v>
      </c>
      <c r="C27" s="22">
        <v>6</v>
      </c>
      <c r="D27" s="22">
        <v>10</v>
      </c>
      <c r="E27" s="47">
        <f t="shared" si="2"/>
        <v>8</v>
      </c>
      <c r="F27" s="38">
        <f t="shared" si="15"/>
        <v>111.30500000000001</v>
      </c>
      <c r="G27" s="38">
        <v>113.41800000000001</v>
      </c>
      <c r="H27" s="38">
        <v>113.02800000000001</v>
      </c>
      <c r="I27" s="34">
        <f t="shared" si="16"/>
        <v>1.722999999999999</v>
      </c>
      <c r="J27" s="70">
        <f t="shared" si="4"/>
        <v>18.45716990061527</v>
      </c>
      <c r="K27" s="38">
        <f t="shared" si="17"/>
        <v>113.678</v>
      </c>
      <c r="L27" s="38">
        <v>263.7</v>
      </c>
      <c r="M27" s="34">
        <f t="shared" si="18"/>
        <v>150.02199999999999</v>
      </c>
      <c r="N27" s="58">
        <v>8.7349999999999994</v>
      </c>
      <c r="O27" s="40">
        <v>146.5</v>
      </c>
      <c r="P27" s="36">
        <f t="shared" si="6"/>
        <v>0.87350000000000005</v>
      </c>
      <c r="Q27" s="36">
        <v>0</v>
      </c>
      <c r="R27" s="52">
        <f t="shared" si="8"/>
        <v>1.7971894950667453</v>
      </c>
      <c r="S27" s="52"/>
      <c r="T27" s="53"/>
      <c r="U27" s="24"/>
      <c r="AB27" s="24">
        <f t="shared" si="14"/>
        <v>1.9361988096232852</v>
      </c>
      <c r="AC27" s="60">
        <f t="shared" ref="AC27:AC33" si="19">(AB27-R38)^2</f>
        <v>4.9363985663896746E-3</v>
      </c>
      <c r="AF27" s="65" t="s">
        <v>72</v>
      </c>
      <c r="AG27" s="68">
        <f>SQRT(((AG26*AG24*AG$28)/(2*AG25*296*0.05))^2+AG31/(AG30*10^(-12)))</f>
        <v>11824.457561316933</v>
      </c>
    </row>
    <row r="28" spans="1:33" x14ac:dyDescent="0.35">
      <c r="A28" s="22">
        <v>4</v>
      </c>
      <c r="B28" s="26">
        <v>45181</v>
      </c>
      <c r="C28" s="22">
        <v>10</v>
      </c>
      <c r="D28" s="22">
        <v>14</v>
      </c>
      <c r="E28" s="47">
        <f t="shared" si="2"/>
        <v>12</v>
      </c>
      <c r="F28" s="38">
        <f t="shared" si="15"/>
        <v>113.82599999999999</v>
      </c>
      <c r="G28" s="38">
        <v>116.479</v>
      </c>
      <c r="H28" s="38">
        <v>115.97199999999999</v>
      </c>
      <c r="I28" s="34">
        <f t="shared" si="16"/>
        <v>2.1460000000000008</v>
      </c>
      <c r="J28" s="70">
        <f t="shared" si="4"/>
        <v>19.110441010177304</v>
      </c>
      <c r="K28" s="38">
        <f t="shared" si="17"/>
        <v>113.569</v>
      </c>
      <c r="L28" s="38">
        <v>267.45299999999997</v>
      </c>
      <c r="M28" s="34">
        <f t="shared" si="18"/>
        <v>153.88399999999996</v>
      </c>
      <c r="N28" s="58">
        <v>8.6210000000000004</v>
      </c>
      <c r="O28" s="40">
        <v>142.80000000000001</v>
      </c>
      <c r="P28" s="36">
        <f t="shared" si="6"/>
        <v>0.86210000000000009</v>
      </c>
      <c r="Q28" s="36">
        <v>0</v>
      </c>
      <c r="R28" s="52">
        <f t="shared" si="8"/>
        <v>1.4241120689655171</v>
      </c>
      <c r="S28" s="52"/>
      <c r="T28" s="53"/>
      <c r="U28" s="24"/>
      <c r="AB28" s="24">
        <f t="shared" si="14"/>
        <v>1.5041950190253168</v>
      </c>
      <c r="AC28" s="60">
        <f t="shared" si="19"/>
        <v>1.3508666616796224E-5</v>
      </c>
      <c r="AF28" s="65" t="s">
        <v>75</v>
      </c>
      <c r="AG28" s="24">
        <v>30</v>
      </c>
    </row>
    <row r="29" spans="1:33" x14ac:dyDescent="0.35">
      <c r="A29" s="22">
        <v>5</v>
      </c>
      <c r="B29" s="26">
        <v>45181</v>
      </c>
      <c r="C29" s="22">
        <v>14</v>
      </c>
      <c r="D29" s="22">
        <v>18</v>
      </c>
      <c r="E29" s="47">
        <f t="shared" si="2"/>
        <v>16</v>
      </c>
      <c r="F29" s="38">
        <f t="shared" si="15"/>
        <v>114.417</v>
      </c>
      <c r="G29" s="38">
        <v>116.825</v>
      </c>
      <c r="H29" s="38">
        <v>116.375</v>
      </c>
      <c r="I29" s="34">
        <f t="shared" si="16"/>
        <v>1.9579999999999984</v>
      </c>
      <c r="J29" s="70">
        <f t="shared" si="4"/>
        <v>18.687707641196123</v>
      </c>
      <c r="K29" s="38">
        <f t="shared" si="17"/>
        <v>107.378</v>
      </c>
      <c r="L29" s="38">
        <v>260.94600000000003</v>
      </c>
      <c r="M29" s="34">
        <f t="shared" si="18"/>
        <v>153.56800000000004</v>
      </c>
      <c r="N29" s="58">
        <v>6.8070000000000004</v>
      </c>
      <c r="O29" s="40">
        <v>60.1</v>
      </c>
      <c r="P29" s="36">
        <f t="shared" si="6"/>
        <v>0.68070000000000008</v>
      </c>
      <c r="Q29" s="36">
        <v>0</v>
      </c>
      <c r="R29" s="52">
        <f t="shared" si="8"/>
        <v>1.2324216036772229</v>
      </c>
      <c r="S29" s="52"/>
      <c r="T29" s="53"/>
      <c r="U29" s="24"/>
      <c r="AB29" s="24">
        <f t="shared" si="14"/>
        <v>1.1685797160988756</v>
      </c>
      <c r="AC29" s="60">
        <f t="shared" si="19"/>
        <v>4.5443429970009231E-4</v>
      </c>
      <c r="AF29" s="65" t="s">
        <v>69</v>
      </c>
      <c r="AG29" s="37">
        <v>3.2080531424091605</v>
      </c>
    </row>
    <row r="30" spans="1:33" x14ac:dyDescent="0.35">
      <c r="A30" s="22">
        <v>6</v>
      </c>
      <c r="B30" s="26">
        <v>45181</v>
      </c>
      <c r="C30" s="22">
        <v>18</v>
      </c>
      <c r="D30" s="22">
        <v>22</v>
      </c>
      <c r="E30" s="47">
        <f t="shared" si="2"/>
        <v>20</v>
      </c>
      <c r="F30" s="38">
        <f t="shared" si="15"/>
        <v>113.3</v>
      </c>
      <c r="G30" s="38">
        <v>115.54900000000001</v>
      </c>
      <c r="H30" s="38">
        <v>115.14100000000001</v>
      </c>
      <c r="I30" s="34">
        <f t="shared" si="16"/>
        <v>1.8410000000000082</v>
      </c>
      <c r="J30" s="70">
        <f t="shared" si="4"/>
        <v>18.141396176078235</v>
      </c>
      <c r="K30" s="38">
        <f t="shared" si="17"/>
        <v>114.29</v>
      </c>
      <c r="L30" s="38">
        <v>263.06</v>
      </c>
      <c r="M30" s="34">
        <f t="shared" si="18"/>
        <v>148.76999999999998</v>
      </c>
      <c r="N30" s="58">
        <v>5.2169999999999996</v>
      </c>
      <c r="O30" s="40">
        <v>66.2</v>
      </c>
      <c r="P30" s="36">
        <f t="shared" si="6"/>
        <v>0.52169999999999994</v>
      </c>
      <c r="Q30" s="36">
        <v>0</v>
      </c>
      <c r="R30" s="52">
        <f t="shared" si="8"/>
        <v>1.0045771319934773</v>
      </c>
      <c r="S30" s="52"/>
      <c r="T30" s="53"/>
      <c r="U30" s="24"/>
      <c r="X30" s="20"/>
      <c r="AB30" s="24">
        <f t="shared" si="14"/>
        <v>0.90784657899822041</v>
      </c>
      <c r="AC30" s="60">
        <f t="shared" si="19"/>
        <v>3.1702601167765422E-4</v>
      </c>
      <c r="AF30" s="65" t="s">
        <v>70</v>
      </c>
      <c r="AG30" s="66">
        <v>13.573618154558098</v>
      </c>
    </row>
    <row r="31" spans="1:33" x14ac:dyDescent="0.35">
      <c r="A31" s="22">
        <v>7</v>
      </c>
      <c r="B31" s="26">
        <v>45181</v>
      </c>
      <c r="C31" s="22">
        <v>22</v>
      </c>
      <c r="D31" s="22">
        <v>26</v>
      </c>
      <c r="E31" s="47">
        <f t="shared" si="2"/>
        <v>24</v>
      </c>
      <c r="F31" s="38">
        <f t="shared" si="15"/>
        <v>113.117</v>
      </c>
      <c r="G31" s="38">
        <v>115.504</v>
      </c>
      <c r="H31" s="38">
        <v>115.06699999999999</v>
      </c>
      <c r="I31" s="34">
        <f t="shared" si="16"/>
        <v>1.9499999999999886</v>
      </c>
      <c r="J31" s="70">
        <f t="shared" si="4"/>
        <v>18.307498952660733</v>
      </c>
      <c r="K31" s="38">
        <f t="shared" si="17"/>
        <v>114.345</v>
      </c>
      <c r="L31" s="38">
        <v>265.25900000000001</v>
      </c>
      <c r="M31" s="34">
        <f t="shared" si="18"/>
        <v>150.91400000000002</v>
      </c>
      <c r="N31" s="58">
        <v>4.2910000000000004</v>
      </c>
      <c r="O31" s="40">
        <v>65.099999999999994</v>
      </c>
      <c r="P31" s="36">
        <f t="shared" si="6"/>
        <v>0.42910000000000009</v>
      </c>
      <c r="Q31" s="36">
        <v>0</v>
      </c>
      <c r="R31" s="52">
        <f t="shared" si="8"/>
        <v>0.78008179487179963</v>
      </c>
      <c r="S31" s="52"/>
      <c r="T31" s="53"/>
      <c r="U31" s="24"/>
      <c r="AB31" s="24">
        <f t="shared" si="14"/>
        <v>0.70051248066697369</v>
      </c>
      <c r="AC31" s="60">
        <f t="shared" si="19"/>
        <v>6.11221561096076E-6</v>
      </c>
      <c r="AF31" s="65" t="s">
        <v>71</v>
      </c>
      <c r="AG31" s="67">
        <v>2.0206630925631854E-5</v>
      </c>
    </row>
    <row r="32" spans="1:33" x14ac:dyDescent="0.35">
      <c r="A32" s="22">
        <v>8</v>
      </c>
      <c r="B32" s="26">
        <v>45181</v>
      </c>
      <c r="C32" s="22">
        <v>26</v>
      </c>
      <c r="D32" s="22">
        <v>30</v>
      </c>
      <c r="E32" s="47">
        <f t="shared" si="2"/>
        <v>28</v>
      </c>
      <c r="F32" s="38">
        <v>112.95</v>
      </c>
      <c r="G32" s="38">
        <v>115.256</v>
      </c>
      <c r="H32" s="38">
        <v>114.857</v>
      </c>
      <c r="I32" s="34">
        <f t="shared" si="16"/>
        <v>1.9069999999999965</v>
      </c>
      <c r="J32" s="70">
        <f t="shared" si="4"/>
        <v>17.302688638334839</v>
      </c>
      <c r="K32" s="38">
        <v>115.56</v>
      </c>
      <c r="L32" s="38">
        <v>264.76299999999998</v>
      </c>
      <c r="M32" s="34">
        <f t="shared" si="18"/>
        <v>149.20299999999997</v>
      </c>
      <c r="N32" s="58">
        <v>2.2610000000000001</v>
      </c>
      <c r="O32" s="40">
        <v>63.7</v>
      </c>
      <c r="P32" s="36">
        <f t="shared" ref="P32:P33" si="20">((N32/1000)*0.1)*1000</f>
        <v>0.22610000000000002</v>
      </c>
      <c r="Q32" s="36">
        <v>0</v>
      </c>
      <c r="R32" s="52">
        <f t="shared" si="8"/>
        <v>0.42030650235972816</v>
      </c>
      <c r="S32" s="52"/>
      <c r="T32" s="53"/>
      <c r="U32" s="24"/>
      <c r="AB32" s="24">
        <f>0.5*AG$29*EXP((AG$26*AG$24*AG$28*E43/1000)/(2*AG$25*296*0.05))*(EXP(-AG$27*E43/1000)*ERFC((E43/1000-2*AG$27*AG$30*10^(-12)*24*3600)/(2*SQRT(AG$30*10^(-12)*24*3600)))+EXP(AG$27*E43/1000)*ERFC((E43/1000+2*AG$27*AG$30*10^(-12)*24*3600)/(2*SQRT(AG$30*10^(-12)*24*3600))))</f>
        <v>0.24217167178163615</v>
      </c>
      <c r="AC32" s="60">
        <f t="shared" si="19"/>
        <v>5.0105575742560121E-7</v>
      </c>
    </row>
    <row r="33" spans="1:33" x14ac:dyDescent="0.35">
      <c r="A33" s="22">
        <v>9</v>
      </c>
      <c r="B33" s="26">
        <v>45181</v>
      </c>
      <c r="C33" s="22">
        <v>30</v>
      </c>
      <c r="D33" s="22">
        <v>34</v>
      </c>
      <c r="E33" s="47">
        <f t="shared" si="2"/>
        <v>32</v>
      </c>
      <c r="F33" s="38">
        <v>97.096999999999994</v>
      </c>
      <c r="G33" s="38">
        <v>98.867000000000004</v>
      </c>
      <c r="H33" s="38">
        <v>98.658000000000001</v>
      </c>
      <c r="I33" s="34">
        <f t="shared" si="16"/>
        <v>1.561000000000007</v>
      </c>
      <c r="J33" s="70">
        <f t="shared" si="4"/>
        <v>11.807909604519885</v>
      </c>
      <c r="K33" s="38">
        <v>100.92700000000001</v>
      </c>
      <c r="L33" s="38">
        <v>259.86</v>
      </c>
      <c r="M33" s="34">
        <f t="shared" si="18"/>
        <v>158.93299999999999</v>
      </c>
      <c r="N33" s="58">
        <v>1.64</v>
      </c>
      <c r="O33" s="40">
        <v>73.3</v>
      </c>
      <c r="P33" s="36">
        <f t="shared" si="20"/>
        <v>0.16400000000000001</v>
      </c>
      <c r="Q33" s="36">
        <f t="shared" si="7"/>
        <v>0.1</v>
      </c>
      <c r="R33" s="52">
        <f t="shared" si="8"/>
        <v>0.1453427290198584</v>
      </c>
      <c r="S33" s="52"/>
      <c r="T33" s="53"/>
      <c r="U33" s="24"/>
      <c r="AB33" s="24">
        <f>0.5*AG$29*EXP((AG$26*AG$24*AG$28*E44/1000)/(2*AG$25*296*0.05))*(EXP(-AG$27*E44/1000)*ERFC((E44/1000-2*AG$27*AG$30*10^(-12)*24*3600)/(2*SQRT(AG$30*10^(-12)*24*3600)))+EXP(AG$27*E44/1000)*ERFC((E44/1000+2*AG$27*AG$30*10^(-12)*24*3600)/(2*SQRT(AG$30*10^(-12)*24*3600))))</f>
        <v>1.1387350680295044E-3</v>
      </c>
      <c r="AC33" s="60">
        <f t="shared" si="19"/>
        <v>2.4554562979499767E-3</v>
      </c>
      <c r="AD33"/>
      <c r="AE33"/>
    </row>
    <row r="34" spans="1:33" x14ac:dyDescent="0.35">
      <c r="E34" s="49"/>
      <c r="F34" s="37"/>
      <c r="G34" s="37"/>
      <c r="H34" s="37"/>
      <c r="I34" s="37"/>
      <c r="J34" s="71"/>
      <c r="K34" s="37"/>
      <c r="L34" s="37"/>
      <c r="M34" s="37"/>
      <c r="N34" s="60"/>
      <c r="O34"/>
      <c r="P34"/>
      <c r="Q34"/>
      <c r="T34" s="54"/>
      <c r="AC34" s="69">
        <f>SUM(AC25:AC33)</f>
        <v>9.3365936417149215E-3</v>
      </c>
    </row>
    <row r="35" spans="1:33" x14ac:dyDescent="0.35">
      <c r="A35" s="81" t="s">
        <v>95</v>
      </c>
      <c r="E35" s="49"/>
      <c r="F35" s="37"/>
      <c r="G35" s="37"/>
      <c r="H35" s="37"/>
      <c r="I35" s="37"/>
      <c r="J35" s="71"/>
      <c r="K35" s="37"/>
      <c r="L35" s="37"/>
      <c r="M35" s="37"/>
      <c r="N35" s="61"/>
      <c r="O35"/>
      <c r="P35"/>
      <c r="Q35"/>
      <c r="T35" s="54" t="s">
        <v>58</v>
      </c>
    </row>
    <row r="36" spans="1:33" x14ac:dyDescent="0.35">
      <c r="A36" s="22">
        <v>1</v>
      </c>
      <c r="B36" s="26">
        <v>45181</v>
      </c>
      <c r="C36" s="22">
        <v>0</v>
      </c>
      <c r="D36" s="22">
        <v>2</v>
      </c>
      <c r="E36" s="47">
        <f t="shared" si="2"/>
        <v>1</v>
      </c>
      <c r="F36" s="38">
        <f t="shared" ref="F36:F42" si="21">F15</f>
        <v>112.4</v>
      </c>
      <c r="G36" s="38">
        <v>113.648</v>
      </c>
      <c r="H36" s="38">
        <v>113.437</v>
      </c>
      <c r="I36" s="34">
        <f>H36-F36</f>
        <v>1.0369999999999919</v>
      </c>
      <c r="J36" s="70">
        <f t="shared" si="4"/>
        <v>16.907051282051292</v>
      </c>
      <c r="K36" s="38">
        <f t="shared" ref="K36:K42" si="22">K5</f>
        <v>112.18</v>
      </c>
      <c r="L36" s="38">
        <v>263.82499999999999</v>
      </c>
      <c r="M36" s="34">
        <f>L36-K36</f>
        <v>151.64499999999998</v>
      </c>
      <c r="N36" s="59">
        <v>8.8170000000000002</v>
      </c>
      <c r="O36" s="40">
        <v>138.5</v>
      </c>
      <c r="P36" s="36">
        <f t="shared" si="6"/>
        <v>0.88170000000000004</v>
      </c>
      <c r="Q36" s="36">
        <v>0</v>
      </c>
      <c r="R36" s="52">
        <f t="shared" si="8"/>
        <v>3.0141046287367641</v>
      </c>
      <c r="S36" s="52">
        <f t="shared" ref="S36:S42" si="23">R25</f>
        <v>2.9764211873080746</v>
      </c>
      <c r="T36" s="53">
        <f>IF(S36="#N/A",NA(),AVERAGEIF(R36:S36,"&lt;&gt;#N/A"))</f>
        <v>2.9952629080224193</v>
      </c>
      <c r="U36" s="24"/>
    </row>
    <row r="37" spans="1:33" x14ac:dyDescent="0.35">
      <c r="A37" s="22">
        <v>2</v>
      </c>
      <c r="B37" s="26">
        <v>45181</v>
      </c>
      <c r="C37" s="22">
        <v>2</v>
      </c>
      <c r="D37" s="22">
        <v>6</v>
      </c>
      <c r="E37" s="47">
        <f t="shared" si="2"/>
        <v>4</v>
      </c>
      <c r="F37" s="38">
        <f t="shared" si="21"/>
        <v>113.498</v>
      </c>
      <c r="G37" s="38">
        <v>115.217</v>
      </c>
      <c r="H37" s="38">
        <v>114.919</v>
      </c>
      <c r="I37" s="34">
        <f t="shared" ref="I37:I44" si="24">H37-F37</f>
        <v>1.4209999999999923</v>
      </c>
      <c r="J37" s="70">
        <f t="shared" si="4"/>
        <v>17.335660267597607</v>
      </c>
      <c r="K37" s="38">
        <f t="shared" si="22"/>
        <v>113.89</v>
      </c>
      <c r="L37" s="38">
        <v>261.52199999999999</v>
      </c>
      <c r="M37" s="34">
        <f t="shared" ref="M37:M44" si="25">L37-K37</f>
        <v>147.63200000000001</v>
      </c>
      <c r="N37" s="59">
        <v>10.125999999999999</v>
      </c>
      <c r="O37" s="40">
        <v>50.1</v>
      </c>
      <c r="P37" s="36">
        <f t="shared" si="6"/>
        <v>1.0125999999999999</v>
      </c>
      <c r="Q37" s="36">
        <v>0</v>
      </c>
      <c r="R37" s="52">
        <f t="shared" si="8"/>
        <v>2.5261555242786908</v>
      </c>
      <c r="S37" s="52">
        <f t="shared" si="23"/>
        <v>2.3910663265306034</v>
      </c>
      <c r="T37" s="53">
        <f t="shared" ref="T37:T42" si="26">IF(S37="#N/A",NA(),AVERAGEIF(R37:S37,"&lt;&gt;#N/A"))</f>
        <v>2.4586109254046473</v>
      </c>
      <c r="U37" s="24"/>
    </row>
    <row r="38" spans="1:33" x14ac:dyDescent="0.35">
      <c r="A38" s="22">
        <v>3</v>
      </c>
      <c r="B38" s="26">
        <v>45181</v>
      </c>
      <c r="C38" s="22">
        <v>6</v>
      </c>
      <c r="D38" s="22">
        <v>10</v>
      </c>
      <c r="E38" s="47">
        <f t="shared" si="2"/>
        <v>8</v>
      </c>
      <c r="F38" s="38">
        <f t="shared" si="21"/>
        <v>110.83199999999999</v>
      </c>
      <c r="G38" s="38">
        <v>113.44799999999999</v>
      </c>
      <c r="H38" s="38">
        <v>112.949</v>
      </c>
      <c r="I38" s="34">
        <f t="shared" si="24"/>
        <v>2.1170000000000044</v>
      </c>
      <c r="J38" s="70">
        <f t="shared" si="4"/>
        <v>19.074923547400431</v>
      </c>
      <c r="K38" s="38">
        <f t="shared" si="22"/>
        <v>113.678</v>
      </c>
      <c r="L38" s="38">
        <v>264.83600000000001</v>
      </c>
      <c r="M38" s="34">
        <f t="shared" si="25"/>
        <v>151.15800000000002</v>
      </c>
      <c r="N38" s="58">
        <v>11.143000000000001</v>
      </c>
      <c r="O38" s="40">
        <v>131.9</v>
      </c>
      <c r="P38" s="36">
        <f t="shared" si="6"/>
        <v>1.1143000000000001</v>
      </c>
      <c r="Q38" s="36">
        <v>0</v>
      </c>
      <c r="R38" s="52">
        <f t="shared" si="8"/>
        <v>1.8659393008974929</v>
      </c>
      <c r="S38" s="52">
        <f t="shared" si="23"/>
        <v>1.7971894950667453</v>
      </c>
      <c r="T38" s="53">
        <f t="shared" si="26"/>
        <v>1.831564397982119</v>
      </c>
      <c r="U38" s="24"/>
    </row>
    <row r="39" spans="1:33" x14ac:dyDescent="0.35">
      <c r="A39" s="22">
        <v>4</v>
      </c>
      <c r="B39" s="26">
        <v>45181</v>
      </c>
      <c r="C39" s="22">
        <v>10</v>
      </c>
      <c r="D39" s="22">
        <v>14</v>
      </c>
      <c r="E39" s="47">
        <f t="shared" si="2"/>
        <v>12</v>
      </c>
      <c r="F39" s="38">
        <f t="shared" si="21"/>
        <v>114.489</v>
      </c>
      <c r="G39" s="38">
        <v>116.652</v>
      </c>
      <c r="H39" s="38">
        <v>116.268</v>
      </c>
      <c r="I39" s="34">
        <f t="shared" si="24"/>
        <v>1.7789999999999964</v>
      </c>
      <c r="J39" s="70">
        <f t="shared" si="4"/>
        <v>17.753120665742067</v>
      </c>
      <c r="K39" s="38">
        <f t="shared" si="22"/>
        <v>113.569</v>
      </c>
      <c r="L39" s="38">
        <v>267.452</v>
      </c>
      <c r="M39" s="34">
        <f t="shared" si="25"/>
        <v>153.88299999999998</v>
      </c>
      <c r="N39" s="58">
        <v>7.5670000000000002</v>
      </c>
      <c r="O39" s="40">
        <v>61.8</v>
      </c>
      <c r="P39" s="36">
        <f t="shared" si="6"/>
        <v>0.75670000000000004</v>
      </c>
      <c r="Q39" s="36">
        <v>0</v>
      </c>
      <c r="R39" s="52">
        <f t="shared" si="8"/>
        <v>1.5078704328274344</v>
      </c>
      <c r="S39" s="52">
        <f t="shared" si="23"/>
        <v>1.4241120689655171</v>
      </c>
      <c r="T39" s="53">
        <f t="shared" si="26"/>
        <v>1.4659912508964759</v>
      </c>
      <c r="U39" s="24"/>
    </row>
    <row r="40" spans="1:33" x14ac:dyDescent="0.35">
      <c r="A40" s="22">
        <v>5</v>
      </c>
      <c r="B40" s="26">
        <v>45181</v>
      </c>
      <c r="C40" s="22">
        <v>14</v>
      </c>
      <c r="D40" s="22">
        <v>18</v>
      </c>
      <c r="E40" s="47">
        <f t="shared" si="2"/>
        <v>16</v>
      </c>
      <c r="F40" s="38">
        <f t="shared" si="21"/>
        <v>106.87</v>
      </c>
      <c r="G40" s="38">
        <v>109.792</v>
      </c>
      <c r="H40" s="38">
        <v>109.282</v>
      </c>
      <c r="I40" s="34">
        <f t="shared" si="24"/>
        <v>2.4119999999999919</v>
      </c>
      <c r="J40" s="70">
        <f t="shared" si="4"/>
        <v>17.453798767967339</v>
      </c>
      <c r="K40" s="38">
        <f t="shared" si="22"/>
        <v>107.378</v>
      </c>
      <c r="L40" s="38">
        <v>261.93099999999998</v>
      </c>
      <c r="M40" s="34">
        <f t="shared" si="25"/>
        <v>154.553</v>
      </c>
      <c r="N40" s="58">
        <v>8.0960000000000001</v>
      </c>
      <c r="O40" s="40">
        <v>56.7</v>
      </c>
      <c r="P40" s="36">
        <f t="shared" si="6"/>
        <v>0.80960000000000021</v>
      </c>
      <c r="Q40" s="36">
        <v>0</v>
      </c>
      <c r="R40" s="52">
        <f t="shared" si="8"/>
        <v>1.1898971807628569</v>
      </c>
      <c r="S40" s="52">
        <f t="shared" si="23"/>
        <v>1.2324216036772229</v>
      </c>
      <c r="T40" s="53">
        <f t="shared" si="26"/>
        <v>1.2111593922200399</v>
      </c>
      <c r="U40" s="24"/>
    </row>
    <row r="41" spans="1:33" x14ac:dyDescent="0.35">
      <c r="A41" s="22">
        <v>6</v>
      </c>
      <c r="B41" s="26">
        <v>45181</v>
      </c>
      <c r="C41" s="22">
        <v>18</v>
      </c>
      <c r="D41" s="22">
        <v>22</v>
      </c>
      <c r="E41" s="47">
        <f t="shared" si="2"/>
        <v>20</v>
      </c>
      <c r="F41" s="38">
        <f t="shared" si="21"/>
        <v>105.83799999999999</v>
      </c>
      <c r="G41" s="38">
        <v>107.658</v>
      </c>
      <c r="H41" s="38">
        <v>107.363</v>
      </c>
      <c r="I41" s="34">
        <f t="shared" si="24"/>
        <v>1.5250000000000057</v>
      </c>
      <c r="J41" s="70">
        <f t="shared" si="4"/>
        <v>16.208791208791236</v>
      </c>
      <c r="K41" s="38">
        <f t="shared" si="22"/>
        <v>114.29</v>
      </c>
      <c r="L41" s="38">
        <v>260.63799999999998</v>
      </c>
      <c r="M41" s="34">
        <f t="shared" si="25"/>
        <v>146.34799999999996</v>
      </c>
      <c r="N41" s="58">
        <v>3.9820000000000002</v>
      </c>
      <c r="O41" s="40">
        <v>77</v>
      </c>
      <c r="P41" s="36">
        <f t="shared" si="6"/>
        <v>0.39820000000000005</v>
      </c>
      <c r="Q41" s="36">
        <v>0</v>
      </c>
      <c r="R41" s="52">
        <f t="shared" si="8"/>
        <v>0.92565180327868524</v>
      </c>
      <c r="S41" s="52">
        <f t="shared" si="23"/>
        <v>1.0045771319934773</v>
      </c>
      <c r="T41" s="53">
        <f t="shared" si="26"/>
        <v>0.96511446763608122</v>
      </c>
      <c r="U41" s="24"/>
    </row>
    <row r="42" spans="1:33" x14ac:dyDescent="0.35">
      <c r="A42" s="22">
        <v>7</v>
      </c>
      <c r="B42" s="26">
        <v>45181</v>
      </c>
      <c r="C42" s="22">
        <v>22</v>
      </c>
      <c r="D42" s="22">
        <v>26</v>
      </c>
      <c r="E42" s="47">
        <f t="shared" si="2"/>
        <v>24</v>
      </c>
      <c r="F42" s="38">
        <f t="shared" si="21"/>
        <v>97.635000000000005</v>
      </c>
      <c r="G42" s="38">
        <v>99.760999999999996</v>
      </c>
      <c r="H42" s="38">
        <v>99.414000000000001</v>
      </c>
      <c r="I42" s="34">
        <f t="shared" si="24"/>
        <v>1.7789999999999964</v>
      </c>
      <c r="J42" s="70">
        <f t="shared" si="4"/>
        <v>16.32173095014091</v>
      </c>
      <c r="K42" s="38">
        <f t="shared" si="22"/>
        <v>114.345</v>
      </c>
      <c r="L42" s="38">
        <v>264.23399999999998</v>
      </c>
      <c r="M42" s="34">
        <f t="shared" si="25"/>
        <v>149.88899999999998</v>
      </c>
      <c r="N42" s="58">
        <v>3.5030000000000001</v>
      </c>
      <c r="O42" s="40">
        <v>68.400000000000006</v>
      </c>
      <c r="P42" s="36">
        <f t="shared" si="6"/>
        <v>0.3503</v>
      </c>
      <c r="Q42" s="36">
        <v>0</v>
      </c>
      <c r="R42" s="52">
        <f t="shared" si="8"/>
        <v>0.69804019111860749</v>
      </c>
      <c r="S42" s="52">
        <f t="shared" si="23"/>
        <v>0.78008179487179963</v>
      </c>
      <c r="T42" s="53">
        <f t="shared" si="26"/>
        <v>0.73906099299520356</v>
      </c>
      <c r="U42" s="24"/>
    </row>
    <row r="43" spans="1:33" x14ac:dyDescent="0.35">
      <c r="A43" s="22">
        <v>8</v>
      </c>
      <c r="B43" s="26">
        <v>45181</v>
      </c>
      <c r="C43" s="22">
        <v>26</v>
      </c>
      <c r="D43" s="22">
        <v>30</v>
      </c>
      <c r="E43" s="47">
        <f t="shared" si="2"/>
        <v>28</v>
      </c>
      <c r="F43" s="38">
        <v>119.703</v>
      </c>
      <c r="G43" s="38">
        <v>122.273</v>
      </c>
      <c r="H43" s="38">
        <v>121.845</v>
      </c>
      <c r="I43" s="34">
        <f t="shared" si="24"/>
        <v>2.1419999999999959</v>
      </c>
      <c r="J43" s="70">
        <f t="shared" si="4"/>
        <v>16.653696498054412</v>
      </c>
      <c r="K43" s="38">
        <v>115.56</v>
      </c>
      <c r="L43" s="38">
        <v>265.74700000000001</v>
      </c>
      <c r="M43" s="34">
        <f t="shared" si="25"/>
        <v>150.18700000000001</v>
      </c>
      <c r="N43" s="58">
        <v>1.4590000000000001</v>
      </c>
      <c r="O43" s="40">
        <v>62.9</v>
      </c>
      <c r="P43" s="36">
        <f t="shared" ref="P43:P44" si="27">((N43/1000)*0.1)*1000</f>
        <v>0.1459</v>
      </c>
      <c r="Q43" s="36">
        <v>0</v>
      </c>
      <c r="R43" s="52">
        <f t="shared" si="8"/>
        <v>0.24146381886087817</v>
      </c>
      <c r="S43" s="52">
        <f t="shared" ref="S43:S44" si="28">R32</f>
        <v>0.42030650235972816</v>
      </c>
      <c r="T43" s="53">
        <f t="shared" ref="T43:T44" si="29">IF(S43="#N/A",NA(),AVERAGEIF(R43:S43,"&lt;&gt;#N/A"))</f>
        <v>0.33088516061030315</v>
      </c>
      <c r="U43" s="24"/>
    </row>
    <row r="44" spans="1:33" x14ac:dyDescent="0.35">
      <c r="A44" s="22">
        <v>9</v>
      </c>
      <c r="B44" s="26">
        <v>45181</v>
      </c>
      <c r="C44" s="22">
        <v>30</v>
      </c>
      <c r="D44" s="22">
        <v>34</v>
      </c>
      <c r="E44" s="47">
        <f t="shared" si="2"/>
        <v>32</v>
      </c>
      <c r="F44" s="38">
        <v>108.71</v>
      </c>
      <c r="G44" s="38">
        <v>111.084</v>
      </c>
      <c r="H44" s="38">
        <v>110.801</v>
      </c>
      <c r="I44" s="34">
        <f t="shared" si="24"/>
        <v>2.0910000000000082</v>
      </c>
      <c r="J44" s="70">
        <f t="shared" si="4"/>
        <v>11.92080876158383</v>
      </c>
      <c r="K44" s="38">
        <v>100.93</v>
      </c>
      <c r="L44" s="38">
        <v>258.673</v>
      </c>
      <c r="M44" s="34">
        <f t="shared" si="25"/>
        <v>157.74299999999999</v>
      </c>
      <c r="N44" s="58">
        <v>1.2989999999999999</v>
      </c>
      <c r="O44" s="40">
        <v>66.400000000000006</v>
      </c>
      <c r="P44" s="36">
        <f t="shared" si="27"/>
        <v>0.12990000000000002</v>
      </c>
      <c r="Q44" s="36">
        <f t="shared" si="7"/>
        <v>0.1</v>
      </c>
      <c r="R44" s="52">
        <f t="shared" si="8"/>
        <v>5.069129603060718E-2</v>
      </c>
      <c r="S44" s="52">
        <f t="shared" si="28"/>
        <v>0.1453427290198584</v>
      </c>
      <c r="T44" s="53">
        <f t="shared" si="29"/>
        <v>9.8017012525232788E-2</v>
      </c>
      <c r="U44" s="24"/>
    </row>
    <row r="45" spans="1:33" x14ac:dyDescent="0.35">
      <c r="E45" s="49"/>
      <c r="F45" s="37"/>
      <c r="G45" s="37"/>
      <c r="H45" s="37"/>
      <c r="I45" s="37"/>
      <c r="J45" s="71"/>
      <c r="K45" s="37"/>
      <c r="L45" s="37"/>
      <c r="M45" s="37"/>
      <c r="N45" s="60"/>
      <c r="O45"/>
      <c r="P45"/>
      <c r="Q45"/>
      <c r="T45" s="54"/>
      <c r="AC45" s="65" t="s">
        <v>76</v>
      </c>
    </row>
    <row r="46" spans="1:33" x14ac:dyDescent="0.35">
      <c r="A46" s="81" t="s">
        <v>96</v>
      </c>
      <c r="E46" s="49"/>
      <c r="F46" s="37"/>
      <c r="G46" s="37"/>
      <c r="H46" s="37"/>
      <c r="I46" s="37"/>
      <c r="J46" s="71"/>
      <c r="K46" s="37"/>
      <c r="L46" s="37"/>
      <c r="M46" s="37"/>
      <c r="N46" s="61"/>
      <c r="O46"/>
      <c r="P46"/>
      <c r="Q46"/>
      <c r="T46" s="54"/>
      <c r="AB46" s="24">
        <f>0.5*AG$51*EXP((AG$48*AG$46*AG$50*E56/1000)/(2*AG$47*296*0.05))*(EXP(-AG$49*E56/1000)*ERFC((E56/1000-2*AG$49*AG$52*10^(-12)*24*3600)/(2*SQRT(AG$52*10^(-12)*24*3600)))+EXP(AG$49*E56/1000)*ERFC((E56/1000+2*AG$49*AG$52*10^(-12)*24*3600)/(2*SQRT(AG$52*10^(-12)*24*3600))))</f>
        <v>3.0746090429497785</v>
      </c>
      <c r="AC46" s="60">
        <f>(AB46-R56)^2</f>
        <v>9.4532207669885526</v>
      </c>
      <c r="AD46"/>
      <c r="AE46"/>
      <c r="AF46" s="65" t="s">
        <v>73</v>
      </c>
      <c r="AG46" s="65">
        <f>9.648*10^4</f>
        <v>96480</v>
      </c>
    </row>
    <row r="47" spans="1:33" x14ac:dyDescent="0.35">
      <c r="A47" s="22">
        <v>1</v>
      </c>
      <c r="B47" s="26">
        <v>45188</v>
      </c>
      <c r="C47" s="22">
        <v>0</v>
      </c>
      <c r="D47" s="22">
        <v>2</v>
      </c>
      <c r="E47" s="47">
        <f>AVERAGE(C47:D47)</f>
        <v>1</v>
      </c>
      <c r="F47" s="38">
        <f t="shared" ref="F47:F54" si="30">F5</f>
        <v>109.91</v>
      </c>
      <c r="G47" s="38">
        <v>110.917</v>
      </c>
      <c r="H47" s="38">
        <v>110.72799999999999</v>
      </c>
      <c r="I47" s="34">
        <f>H47-F47</f>
        <v>0.81799999999999784</v>
      </c>
      <c r="J47" s="70">
        <f t="shared" si="4"/>
        <v>18.768619662364074</v>
      </c>
      <c r="K47" s="38">
        <f t="shared" ref="K47:K54" si="31">K5</f>
        <v>112.18</v>
      </c>
      <c r="L47" s="38">
        <v>263.452</v>
      </c>
      <c r="M47" s="34">
        <f>L47-K47</f>
        <v>151.27199999999999</v>
      </c>
      <c r="N47" s="59">
        <v>7.4960000000000004</v>
      </c>
      <c r="O47" s="40">
        <v>133.1</v>
      </c>
      <c r="P47" s="36">
        <f t="shared" si="6"/>
        <v>0.74960000000000004</v>
      </c>
      <c r="Q47" s="36">
        <v>0</v>
      </c>
      <c r="R47" s="52">
        <f t="shared" si="8"/>
        <v>3.248572127139373</v>
      </c>
      <c r="S47" s="52"/>
      <c r="T47" s="53"/>
      <c r="U47" s="24"/>
      <c r="AB47" s="24">
        <f t="shared" ref="AB47:AB54" si="32">0.5*AG$51*EXP((AG$48*AG$46*AG$50*E57/1000)/(2*AG$47*296*0.05))*(EXP(-AG$49*E57/1000)*ERFC((E57/1000-2*AG$49*AG$52*10^(-12)*24*3600)/(2*SQRT(AG$52*10^(-12)*24*3600)))+EXP(AG$49*E57/1000)*ERFC((E57/1000+2*AG$49*AG$52*10^(-12)*24*3600)/(2*SQRT(AG$52*10^(-12)*24*3600))))</f>
        <v>2.823507487131466</v>
      </c>
      <c r="AC47" s="60">
        <f t="shared" ref="AC47:AC54" si="33">(AB47-R57)^2</f>
        <v>2.2010141156576873E-2</v>
      </c>
      <c r="AF47" t="s">
        <v>16</v>
      </c>
      <c r="AG47">
        <v>8.3140000000000001</v>
      </c>
    </row>
    <row r="48" spans="1:33" x14ac:dyDescent="0.35">
      <c r="A48" s="29">
        <v>2</v>
      </c>
      <c r="B48" s="26">
        <v>45188</v>
      </c>
      <c r="C48" s="22">
        <v>2</v>
      </c>
      <c r="D48" s="22">
        <v>6</v>
      </c>
      <c r="E48" s="50">
        <f t="shared" si="2"/>
        <v>4</v>
      </c>
      <c r="F48" s="38">
        <f t="shared" si="30"/>
        <v>113.20699999999999</v>
      </c>
      <c r="G48" s="39">
        <v>115.468</v>
      </c>
      <c r="H48" s="39">
        <v>115.03100000000001</v>
      </c>
      <c r="I48" s="35">
        <f t="shared" ref="I48:I54" si="34">H48-F48</f>
        <v>1.8240000000000123</v>
      </c>
      <c r="J48" s="70">
        <f t="shared" si="4"/>
        <v>19.327731092436785</v>
      </c>
      <c r="K48" s="38">
        <f t="shared" si="31"/>
        <v>113.89</v>
      </c>
      <c r="L48" s="39">
        <v>262.596</v>
      </c>
      <c r="M48" s="35">
        <f t="shared" ref="M48:M54" si="35">L48-K48</f>
        <v>148.70600000000002</v>
      </c>
      <c r="N48" s="59">
        <v>11.042999999999999</v>
      </c>
      <c r="O48" s="41">
        <v>139.69999999999999</v>
      </c>
      <c r="P48" s="36">
        <f t="shared" si="6"/>
        <v>1.1042999999999998</v>
      </c>
      <c r="Q48" s="36">
        <v>0</v>
      </c>
      <c r="R48" s="52">
        <f t="shared" si="8"/>
        <v>2.1462409539473537</v>
      </c>
      <c r="S48" s="52"/>
      <c r="T48" s="53"/>
      <c r="U48" s="24"/>
      <c r="AB48" s="24">
        <f t="shared" si="32"/>
        <v>2.1866842367946342</v>
      </c>
      <c r="AC48" s="60">
        <f t="shared" si="33"/>
        <v>3.3297725919747619E-2</v>
      </c>
      <c r="AF48" s="65" t="s">
        <v>74</v>
      </c>
      <c r="AG48" s="24">
        <v>1</v>
      </c>
    </row>
    <row r="49" spans="1:33" s="28" customFormat="1" x14ac:dyDescent="0.35">
      <c r="A49" s="29">
        <v>3</v>
      </c>
      <c r="B49" s="26">
        <v>45188</v>
      </c>
      <c r="C49" s="22">
        <v>6</v>
      </c>
      <c r="D49" s="22">
        <v>10</v>
      </c>
      <c r="E49" s="50">
        <f t="shared" si="2"/>
        <v>8</v>
      </c>
      <c r="F49" s="38">
        <f t="shared" si="30"/>
        <v>111.30500000000001</v>
      </c>
      <c r="G49" s="39">
        <v>113.788</v>
      </c>
      <c r="H49" s="39">
        <v>113.295</v>
      </c>
      <c r="I49" s="35">
        <f t="shared" si="34"/>
        <v>1.9899999999999949</v>
      </c>
      <c r="J49" s="70">
        <f t="shared" si="4"/>
        <v>19.855014095851672</v>
      </c>
      <c r="K49" s="38">
        <f t="shared" si="31"/>
        <v>113.678</v>
      </c>
      <c r="L49" s="39">
        <v>253.827</v>
      </c>
      <c r="M49" s="35">
        <f t="shared" si="35"/>
        <v>140.149</v>
      </c>
      <c r="N49" s="59">
        <v>7.617</v>
      </c>
      <c r="O49" s="41">
        <v>146.5</v>
      </c>
      <c r="P49" s="36">
        <f t="shared" si="6"/>
        <v>0.76170000000000004</v>
      </c>
      <c r="Q49" s="36">
        <v>0</v>
      </c>
      <c r="R49" s="52">
        <f t="shared" si="8"/>
        <v>1.3568977386934711</v>
      </c>
      <c r="S49" s="52"/>
      <c r="T49" s="53"/>
      <c r="V49"/>
      <c r="W49"/>
      <c r="AB49" s="24">
        <f t="shared" si="32"/>
        <v>1.5551856787810261</v>
      </c>
      <c r="AC49" s="60">
        <f t="shared" si="33"/>
        <v>1.34934499455668E-2</v>
      </c>
      <c r="AD49" s="24"/>
      <c r="AE49" s="24"/>
      <c r="AF49" s="65" t="s">
        <v>72</v>
      </c>
      <c r="AG49" s="68">
        <f>SQRT(((AG48*AG46*AG$50)/(2*AG47*296*0.05))^2+AG53/(AG52*10^(-12)))</f>
        <v>11846.538214521883</v>
      </c>
    </row>
    <row r="50" spans="1:33" x14ac:dyDescent="0.35">
      <c r="A50" s="29">
        <v>4</v>
      </c>
      <c r="B50" s="26">
        <v>45188</v>
      </c>
      <c r="C50" s="22">
        <v>10</v>
      </c>
      <c r="D50" s="22">
        <v>14</v>
      </c>
      <c r="E50" s="50">
        <f t="shared" si="2"/>
        <v>12</v>
      </c>
      <c r="F50" s="38">
        <f t="shared" si="30"/>
        <v>113.82599999999999</v>
      </c>
      <c r="G50" s="39">
        <v>115.51900000000001</v>
      </c>
      <c r="H50" s="39">
        <v>115.19199999999999</v>
      </c>
      <c r="I50" s="35">
        <f t="shared" si="34"/>
        <v>1.3659999999999997</v>
      </c>
      <c r="J50" s="70">
        <f t="shared" si="4"/>
        <v>19.314825753101598</v>
      </c>
      <c r="K50" s="38">
        <f t="shared" si="31"/>
        <v>113.569</v>
      </c>
      <c r="L50" s="39">
        <v>267.839</v>
      </c>
      <c r="M50" s="35">
        <f t="shared" si="35"/>
        <v>154.26999999999998</v>
      </c>
      <c r="N50" s="59">
        <v>4.3920000000000003</v>
      </c>
      <c r="O50" s="41">
        <v>82.6</v>
      </c>
      <c r="P50" s="36">
        <f t="shared" si="6"/>
        <v>0.43920000000000003</v>
      </c>
      <c r="Q50" s="36">
        <v>0</v>
      </c>
      <c r="R50" s="52">
        <f t="shared" si="8"/>
        <v>1.13979795021962</v>
      </c>
      <c r="S50" s="52"/>
      <c r="T50" s="53"/>
      <c r="U50" s="24"/>
      <c r="AB50" s="24">
        <f t="shared" si="32"/>
        <v>1.1060593270800463</v>
      </c>
      <c r="AC50" s="60">
        <f t="shared" si="33"/>
        <v>8.8795038712662392E-4</v>
      </c>
      <c r="AF50" s="65" t="s">
        <v>75</v>
      </c>
      <c r="AG50" s="24">
        <v>30</v>
      </c>
    </row>
    <row r="51" spans="1:33" x14ac:dyDescent="0.35">
      <c r="A51" s="29">
        <v>5</v>
      </c>
      <c r="B51" s="26">
        <v>45188</v>
      </c>
      <c r="C51" s="22">
        <v>14</v>
      </c>
      <c r="D51" s="22">
        <v>18</v>
      </c>
      <c r="E51" s="50">
        <f t="shared" si="2"/>
        <v>16</v>
      </c>
      <c r="F51" s="38">
        <f t="shared" si="30"/>
        <v>114.417</v>
      </c>
      <c r="G51" s="39">
        <v>117.122</v>
      </c>
      <c r="H51" s="39">
        <v>116.59699999999999</v>
      </c>
      <c r="I51" s="35">
        <f t="shared" si="34"/>
        <v>2.1799999999999926</v>
      </c>
      <c r="J51" s="70">
        <f t="shared" si="4"/>
        <v>19.408502772643477</v>
      </c>
      <c r="K51" s="38">
        <f t="shared" si="31"/>
        <v>107.378</v>
      </c>
      <c r="L51" s="39">
        <v>262.37099999999998</v>
      </c>
      <c r="M51" s="35">
        <f t="shared" si="35"/>
        <v>154.99299999999999</v>
      </c>
      <c r="N51" s="59">
        <v>5.4930000000000003</v>
      </c>
      <c r="O51" s="41">
        <v>59.2</v>
      </c>
      <c r="P51" s="36">
        <f t="shared" si="6"/>
        <v>0.54930000000000012</v>
      </c>
      <c r="Q51" s="36">
        <v>0</v>
      </c>
      <c r="R51" s="52">
        <f t="shared" si="8"/>
        <v>0.89324243119266367</v>
      </c>
      <c r="S51" s="52"/>
      <c r="T51" s="53"/>
      <c r="U51" s="24"/>
      <c r="AB51" s="24">
        <f t="shared" si="32"/>
        <v>0.78663741038281099</v>
      </c>
      <c r="AC51" s="60">
        <f t="shared" si="33"/>
        <v>9.7811680681491389E-3</v>
      </c>
      <c r="AF51" s="65" t="s">
        <v>69</v>
      </c>
      <c r="AG51" s="37">
        <v>3.0746090429497785</v>
      </c>
    </row>
    <row r="52" spans="1:33" s="28" customFormat="1" x14ac:dyDescent="0.35">
      <c r="A52" s="29">
        <v>6</v>
      </c>
      <c r="B52" s="26">
        <v>45188</v>
      </c>
      <c r="C52" s="22">
        <v>18</v>
      </c>
      <c r="D52" s="22">
        <v>22</v>
      </c>
      <c r="E52" s="50">
        <f t="shared" si="2"/>
        <v>20</v>
      </c>
      <c r="F52" s="38">
        <f t="shared" si="30"/>
        <v>113.3</v>
      </c>
      <c r="G52" s="39">
        <v>115.6</v>
      </c>
      <c r="H52" s="39">
        <v>115.15600000000001</v>
      </c>
      <c r="I52" s="35">
        <f t="shared" si="34"/>
        <v>1.8560000000000088</v>
      </c>
      <c r="J52" s="70">
        <f t="shared" si="4"/>
        <v>19.304347826086477</v>
      </c>
      <c r="K52" s="38">
        <f t="shared" si="31"/>
        <v>114.29</v>
      </c>
      <c r="L52" s="39">
        <v>262.31799999999998</v>
      </c>
      <c r="M52" s="35">
        <f t="shared" si="35"/>
        <v>148.02799999999996</v>
      </c>
      <c r="N52" s="59">
        <v>3.3809999999999998</v>
      </c>
      <c r="O52" s="41">
        <v>71.900000000000006</v>
      </c>
      <c r="P52" s="36">
        <f t="shared" si="6"/>
        <v>0.33810000000000001</v>
      </c>
      <c r="Q52" s="36">
        <v>0</v>
      </c>
      <c r="R52" s="52">
        <f t="shared" si="8"/>
        <v>0.64577828663792813</v>
      </c>
      <c r="S52" s="52"/>
      <c r="T52" s="53"/>
      <c r="V52"/>
      <c r="W52"/>
      <c r="AB52" s="24">
        <f t="shared" si="32"/>
        <v>0.55946213133111078</v>
      </c>
      <c r="AC52" s="60">
        <f t="shared" si="33"/>
        <v>9.5939833776159736E-3</v>
      </c>
      <c r="AD52" s="24"/>
      <c r="AE52" s="24"/>
      <c r="AF52" s="65" t="s">
        <v>70</v>
      </c>
      <c r="AG52" s="66">
        <v>13.554260492233379</v>
      </c>
    </row>
    <row r="53" spans="1:33" x14ac:dyDescent="0.35">
      <c r="A53" s="29">
        <v>7</v>
      </c>
      <c r="B53" s="26">
        <v>45188</v>
      </c>
      <c r="C53" s="22">
        <v>22</v>
      </c>
      <c r="D53" s="22">
        <v>26</v>
      </c>
      <c r="E53" s="50">
        <f t="shared" si="2"/>
        <v>24</v>
      </c>
      <c r="F53" s="38">
        <f t="shared" si="30"/>
        <v>113.117</v>
      </c>
      <c r="G53" s="39">
        <v>115.348</v>
      </c>
      <c r="H53" s="39">
        <v>114.93</v>
      </c>
      <c r="I53" s="35">
        <f t="shared" si="34"/>
        <v>1.8130000000000024</v>
      </c>
      <c r="J53" s="70">
        <f t="shared" si="4"/>
        <v>18.735992828327799</v>
      </c>
      <c r="K53" s="38">
        <f t="shared" si="31"/>
        <v>114.345</v>
      </c>
      <c r="L53" s="39">
        <v>264.64999999999998</v>
      </c>
      <c r="M53" s="35">
        <f t="shared" si="35"/>
        <v>150.30499999999998</v>
      </c>
      <c r="N53" s="59">
        <v>1.6180000000000001</v>
      </c>
      <c r="O53" s="41">
        <v>119.6</v>
      </c>
      <c r="P53" s="36">
        <f t="shared" si="6"/>
        <v>0.16180000000000003</v>
      </c>
      <c r="Q53" s="36">
        <v>0</v>
      </c>
      <c r="R53" s="52">
        <f t="shared" si="8"/>
        <v>0.31637120794263618</v>
      </c>
      <c r="S53" s="52"/>
      <c r="T53" s="53"/>
      <c r="U53" s="24"/>
      <c r="AB53" s="24">
        <f t="shared" si="32"/>
        <v>0.39527112461951602</v>
      </c>
      <c r="AC53" s="60">
        <f t="shared" si="33"/>
        <v>1.5062534244157809E-4</v>
      </c>
      <c r="AF53" s="65" t="s">
        <v>71</v>
      </c>
      <c r="AG53" s="67">
        <v>2.7262233311144256E-5</v>
      </c>
    </row>
    <row r="54" spans="1:33" x14ac:dyDescent="0.35">
      <c r="A54" s="22">
        <v>8</v>
      </c>
      <c r="B54" s="26">
        <v>45188</v>
      </c>
      <c r="C54" s="22">
        <v>26</v>
      </c>
      <c r="D54" s="22">
        <v>30</v>
      </c>
      <c r="E54" s="47">
        <f t="shared" si="2"/>
        <v>28</v>
      </c>
      <c r="F54" s="38">
        <f t="shared" si="30"/>
        <v>112.947</v>
      </c>
      <c r="G54" s="38">
        <v>114.736</v>
      </c>
      <c r="H54" s="38">
        <v>114.41500000000001</v>
      </c>
      <c r="I54" s="34">
        <f t="shared" si="34"/>
        <v>1.4680000000000035</v>
      </c>
      <c r="J54" s="70">
        <f t="shared" si="4"/>
        <v>17.942984907769574</v>
      </c>
      <c r="K54" s="38">
        <f t="shared" si="31"/>
        <v>115.55500000000001</v>
      </c>
      <c r="L54" s="38">
        <v>266.024</v>
      </c>
      <c r="M54" s="34">
        <f t="shared" si="35"/>
        <v>150.46899999999999</v>
      </c>
      <c r="N54" s="58">
        <v>1.587</v>
      </c>
      <c r="O54" s="40">
        <v>76.400000000000006</v>
      </c>
      <c r="P54" s="36">
        <f t="shared" si="6"/>
        <v>0.15870000000000001</v>
      </c>
      <c r="Q54" s="36">
        <f t="shared" si="7"/>
        <v>0.1</v>
      </c>
      <c r="R54" s="52">
        <f t="shared" si="8"/>
        <v>0.14175170299727488</v>
      </c>
      <c r="S54" s="52"/>
      <c r="T54" s="53"/>
      <c r="U54" s="24"/>
      <c r="AB54" s="24">
        <f t="shared" si="32"/>
        <v>0.1259455086315491</v>
      </c>
      <c r="AC54" s="60">
        <f t="shared" si="33"/>
        <v>5.7189111881421566E-7</v>
      </c>
    </row>
    <row r="55" spans="1:33" x14ac:dyDescent="0.35">
      <c r="E55" s="49"/>
      <c r="F55" s="37"/>
      <c r="G55" s="37"/>
      <c r="H55" s="37"/>
      <c r="I55" s="37"/>
      <c r="J55" s="71"/>
      <c r="K55" s="37"/>
      <c r="L55" s="37"/>
      <c r="M55" s="37"/>
      <c r="N55" s="60"/>
      <c r="O55"/>
      <c r="P55"/>
      <c r="Q55"/>
      <c r="T55" s="54"/>
      <c r="AC55" s="69">
        <f>SUM(AC47:AC54)</f>
        <v>8.9215616088343414E-2</v>
      </c>
      <c r="AD55"/>
      <c r="AE55"/>
    </row>
    <row r="56" spans="1:33" x14ac:dyDescent="0.35">
      <c r="A56" s="81" t="s">
        <v>97</v>
      </c>
      <c r="E56" s="49"/>
      <c r="F56" s="37"/>
      <c r="G56" s="37"/>
      <c r="H56" s="37"/>
      <c r="I56" s="37"/>
      <c r="J56" s="71"/>
      <c r="K56" s="37"/>
      <c r="L56" s="37"/>
      <c r="M56" s="37"/>
      <c r="N56" s="61"/>
      <c r="O56"/>
      <c r="P56"/>
      <c r="Q56"/>
      <c r="T56" s="54" t="s">
        <v>59</v>
      </c>
    </row>
    <row r="57" spans="1:33" x14ac:dyDescent="0.35">
      <c r="A57" s="22">
        <v>1</v>
      </c>
      <c r="B57" s="26">
        <v>45188</v>
      </c>
      <c r="C57" s="22">
        <v>0</v>
      </c>
      <c r="D57" s="22">
        <v>2</v>
      </c>
      <c r="E57" s="47">
        <f t="shared" si="2"/>
        <v>1</v>
      </c>
      <c r="F57" s="38">
        <f t="shared" ref="F57:F64" si="36">F15</f>
        <v>112.4</v>
      </c>
      <c r="G57" s="38">
        <v>113.753</v>
      </c>
      <c r="H57" s="38">
        <v>113.535</v>
      </c>
      <c r="I57" s="34">
        <f>H57-F57</f>
        <v>1.1349999999999909</v>
      </c>
      <c r="J57" s="70">
        <f t="shared" si="4"/>
        <v>16.112342941611562</v>
      </c>
      <c r="K57" s="38">
        <f t="shared" ref="K57:K64" si="37">K5</f>
        <v>112.18</v>
      </c>
      <c r="L57" s="38">
        <v>263.30200000000002</v>
      </c>
      <c r="M57" s="34">
        <f>L57-K57</f>
        <v>151.12200000000001</v>
      </c>
      <c r="N57" s="59">
        <v>9.5150000000000006</v>
      </c>
      <c r="O57" s="40">
        <v>152.9</v>
      </c>
      <c r="P57" s="36">
        <f t="shared" si="6"/>
        <v>0.95150000000000012</v>
      </c>
      <c r="Q57" s="36">
        <v>0</v>
      </c>
      <c r="R57" s="52">
        <f t="shared" si="8"/>
        <v>2.9718656387665443</v>
      </c>
      <c r="S57" s="52">
        <f>R47</f>
        <v>3.248572127139373</v>
      </c>
      <c r="T57" s="53">
        <f>IF(S57="#N/A",NA(),AVERAGEIF(R57:S57,"&lt;&gt;#N/A"))</f>
        <v>3.1102188829529585</v>
      </c>
      <c r="U57" s="24"/>
    </row>
    <row r="58" spans="1:33" x14ac:dyDescent="0.35">
      <c r="A58" s="22">
        <v>2</v>
      </c>
      <c r="B58" s="26">
        <v>45188</v>
      </c>
      <c r="C58" s="22">
        <v>2</v>
      </c>
      <c r="D58" s="22">
        <v>6</v>
      </c>
      <c r="E58" s="47">
        <f t="shared" si="2"/>
        <v>4</v>
      </c>
      <c r="F58" s="38">
        <f t="shared" si="36"/>
        <v>113.498</v>
      </c>
      <c r="G58" s="38">
        <v>115.57899999999999</v>
      </c>
      <c r="H58" s="38">
        <v>115.184</v>
      </c>
      <c r="I58" s="34">
        <f t="shared" ref="I58:I64" si="38">H58-F58</f>
        <v>1.6859999999999928</v>
      </c>
      <c r="J58" s="70">
        <f t="shared" si="4"/>
        <v>18.981259010091211</v>
      </c>
      <c r="K58" s="38">
        <f t="shared" si="37"/>
        <v>113.89</v>
      </c>
      <c r="L58" s="38">
        <v>264.07</v>
      </c>
      <c r="M58" s="34">
        <f t="shared" ref="M58:M64" si="39">L58-K58</f>
        <v>150.18</v>
      </c>
      <c r="N58" s="59">
        <v>9.532</v>
      </c>
      <c r="O58" s="40">
        <v>131.69999999999999</v>
      </c>
      <c r="P58" s="36">
        <f t="shared" si="6"/>
        <v>0.95320000000000005</v>
      </c>
      <c r="Q58" s="36">
        <v>0</v>
      </c>
      <c r="R58" s="52">
        <f t="shared" si="8"/>
        <v>2.0042075919335791</v>
      </c>
      <c r="S58" s="52">
        <f t="shared" ref="S58:S64" si="40">R48</f>
        <v>2.1462409539473537</v>
      </c>
      <c r="T58" s="53">
        <f t="shared" ref="T58:T64" si="41">IF(S58="#N/A",NA(),AVERAGEIF(R58:S58,"&lt;&gt;#N/A"))</f>
        <v>2.0752242729404662</v>
      </c>
      <c r="U58" s="24"/>
    </row>
    <row r="59" spans="1:33" s="31" customFormat="1" x14ac:dyDescent="0.35">
      <c r="A59" s="29">
        <v>3</v>
      </c>
      <c r="B59" s="26">
        <v>45188</v>
      </c>
      <c r="C59" s="22">
        <v>6</v>
      </c>
      <c r="D59" s="22">
        <v>10</v>
      </c>
      <c r="E59" s="47">
        <f t="shared" si="2"/>
        <v>8</v>
      </c>
      <c r="F59" s="38">
        <f t="shared" si="36"/>
        <v>110.83199999999999</v>
      </c>
      <c r="G59" s="39">
        <v>112.9</v>
      </c>
      <c r="H59" s="39">
        <v>112.535</v>
      </c>
      <c r="I59" s="35">
        <f t="shared" si="38"/>
        <v>1.703000000000003</v>
      </c>
      <c r="J59" s="70">
        <f t="shared" si="4"/>
        <v>17.649903288201497</v>
      </c>
      <c r="K59" s="38">
        <f t="shared" si="37"/>
        <v>113.678</v>
      </c>
      <c r="L59" s="39">
        <v>264.45699999999999</v>
      </c>
      <c r="M59" s="35">
        <f t="shared" si="39"/>
        <v>150.779</v>
      </c>
      <c r="N59" s="59">
        <v>6.9130000000000003</v>
      </c>
      <c r="O59" s="41">
        <v>74.5</v>
      </c>
      <c r="P59" s="36">
        <f t="shared" si="6"/>
        <v>0.69130000000000003</v>
      </c>
      <c r="Q59" s="36">
        <v>0</v>
      </c>
      <c r="R59" s="52">
        <f t="shared" si="8"/>
        <v>1.4390243687610078</v>
      </c>
      <c r="S59" s="52">
        <f t="shared" si="40"/>
        <v>1.3568977386934711</v>
      </c>
      <c r="T59" s="53">
        <f t="shared" si="41"/>
        <v>1.3979610537272396</v>
      </c>
      <c r="V59"/>
      <c r="W59"/>
    </row>
    <row r="60" spans="1:33" x14ac:dyDescent="0.35">
      <c r="A60" s="22">
        <v>4</v>
      </c>
      <c r="B60" s="26">
        <v>45188</v>
      </c>
      <c r="C60" s="22">
        <v>10</v>
      </c>
      <c r="D60" s="22">
        <v>14</v>
      </c>
      <c r="E60" s="47">
        <f t="shared" si="2"/>
        <v>12</v>
      </c>
      <c r="F60" s="38">
        <f t="shared" si="36"/>
        <v>114.489</v>
      </c>
      <c r="G60" s="38">
        <v>116.953</v>
      </c>
      <c r="H60" s="38">
        <v>116.483</v>
      </c>
      <c r="I60" s="34">
        <f t="shared" si="38"/>
        <v>1.9939999999999998</v>
      </c>
      <c r="J60" s="70">
        <f t="shared" si="4"/>
        <v>19.07467532467529</v>
      </c>
      <c r="K60" s="38">
        <f t="shared" si="37"/>
        <v>113.569</v>
      </c>
      <c r="L60" s="38">
        <v>267.625</v>
      </c>
      <c r="M60" s="34">
        <f t="shared" si="39"/>
        <v>154.05599999999998</v>
      </c>
      <c r="N60" s="58">
        <v>6.3890000000000002</v>
      </c>
      <c r="O60" s="40">
        <v>62.8</v>
      </c>
      <c r="P60" s="36">
        <f t="shared" si="6"/>
        <v>0.63890000000000013</v>
      </c>
      <c r="Q60" s="36">
        <v>0</v>
      </c>
      <c r="R60" s="52">
        <f t="shared" si="8"/>
        <v>1.1358578234704118</v>
      </c>
      <c r="S60" s="52">
        <f t="shared" si="40"/>
        <v>1.13979795021962</v>
      </c>
      <c r="T60" s="53">
        <f t="shared" si="41"/>
        <v>1.1378278868450158</v>
      </c>
      <c r="U60" s="24"/>
    </row>
    <row r="61" spans="1:33" x14ac:dyDescent="0.35">
      <c r="A61" s="22">
        <v>5</v>
      </c>
      <c r="B61" s="26">
        <v>45188</v>
      </c>
      <c r="C61" s="22">
        <v>14</v>
      </c>
      <c r="D61" s="22">
        <v>18</v>
      </c>
      <c r="E61" s="47">
        <f t="shared" si="2"/>
        <v>16</v>
      </c>
      <c r="F61" s="38">
        <f t="shared" si="36"/>
        <v>106.87</v>
      </c>
      <c r="G61" s="38">
        <v>108.693</v>
      </c>
      <c r="H61" s="38">
        <v>108.36199999999999</v>
      </c>
      <c r="I61" s="34">
        <f t="shared" si="38"/>
        <v>1.4919999999999902</v>
      </c>
      <c r="J61" s="70">
        <f t="shared" si="4"/>
        <v>18.156884256719927</v>
      </c>
      <c r="K61" s="38">
        <f t="shared" si="37"/>
        <v>107.378</v>
      </c>
      <c r="L61" s="38">
        <v>261.12400000000002</v>
      </c>
      <c r="M61" s="34">
        <f t="shared" si="39"/>
        <v>153.74600000000004</v>
      </c>
      <c r="N61" s="58">
        <v>3.7269999999999999</v>
      </c>
      <c r="O61" s="40">
        <v>74</v>
      </c>
      <c r="P61" s="36">
        <f t="shared" si="6"/>
        <v>0.37270000000000003</v>
      </c>
      <c r="Q61" s="36">
        <v>0</v>
      </c>
      <c r="R61" s="52">
        <f t="shared" si="8"/>
        <v>0.88553719839142675</v>
      </c>
      <c r="S61" s="52">
        <f t="shared" si="40"/>
        <v>0.89324243119266367</v>
      </c>
      <c r="T61" s="53">
        <f t="shared" si="41"/>
        <v>0.88938981479204515</v>
      </c>
      <c r="U61" s="24"/>
    </row>
    <row r="62" spans="1:33" s="31" customFormat="1" x14ac:dyDescent="0.35">
      <c r="A62" s="29">
        <v>6</v>
      </c>
      <c r="B62" s="26">
        <v>45188</v>
      </c>
      <c r="C62" s="22">
        <v>18</v>
      </c>
      <c r="D62" s="22">
        <v>22</v>
      </c>
      <c r="E62" s="47">
        <f t="shared" si="2"/>
        <v>20</v>
      </c>
      <c r="F62" s="38">
        <f t="shared" si="36"/>
        <v>105.83799999999999</v>
      </c>
      <c r="G62" s="39">
        <v>108.31100000000001</v>
      </c>
      <c r="H62" s="39">
        <v>107.872</v>
      </c>
      <c r="I62" s="35">
        <f t="shared" si="38"/>
        <v>2.034000000000006</v>
      </c>
      <c r="J62" s="70">
        <f t="shared" si="4"/>
        <v>17.751718560453085</v>
      </c>
      <c r="K62" s="38">
        <f t="shared" si="37"/>
        <v>114.29</v>
      </c>
      <c r="L62" s="39">
        <v>262.37299999999999</v>
      </c>
      <c r="M62" s="35">
        <f t="shared" si="39"/>
        <v>148.08299999999997</v>
      </c>
      <c r="N62" s="59">
        <v>3.7719999999999998</v>
      </c>
      <c r="O62" s="41">
        <v>61.7</v>
      </c>
      <c r="P62" s="36">
        <f t="shared" si="6"/>
        <v>0.37719999999999998</v>
      </c>
      <c r="Q62" s="36">
        <v>0</v>
      </c>
      <c r="R62" s="52">
        <f t="shared" si="8"/>
        <v>0.65741101278269232</v>
      </c>
      <c r="S62" s="52">
        <f t="shared" si="40"/>
        <v>0.64577828663792813</v>
      </c>
      <c r="T62" s="53">
        <f t="shared" si="41"/>
        <v>0.65159464971031023</v>
      </c>
      <c r="V62"/>
      <c r="W62"/>
    </row>
    <row r="63" spans="1:33" x14ac:dyDescent="0.35">
      <c r="A63" s="22">
        <v>7</v>
      </c>
      <c r="B63" s="26">
        <v>45188</v>
      </c>
      <c r="C63" s="22">
        <v>22</v>
      </c>
      <c r="D63" s="22">
        <v>26</v>
      </c>
      <c r="E63" s="47">
        <f t="shared" si="2"/>
        <v>24</v>
      </c>
      <c r="F63" s="38">
        <f t="shared" si="36"/>
        <v>97.635000000000005</v>
      </c>
      <c r="G63" s="38">
        <v>99.596000000000004</v>
      </c>
      <c r="H63" s="38">
        <v>99.277000000000001</v>
      </c>
      <c r="I63" s="34">
        <f t="shared" si="38"/>
        <v>1.6419999999999959</v>
      </c>
      <c r="J63" s="34">
        <f t="shared" si="4"/>
        <v>16.267210606833395</v>
      </c>
      <c r="K63" s="38">
        <f t="shared" si="37"/>
        <v>114.345</v>
      </c>
      <c r="L63" s="38">
        <v>266.57</v>
      </c>
      <c r="M63" s="34">
        <f t="shared" si="39"/>
        <v>152.22499999999999</v>
      </c>
      <c r="N63" s="58">
        <v>1.774</v>
      </c>
      <c r="O63" s="40">
        <v>66.5</v>
      </c>
      <c r="P63" s="36">
        <f t="shared" si="6"/>
        <v>0.1774</v>
      </c>
      <c r="Q63" s="36">
        <v>0</v>
      </c>
      <c r="R63" s="52">
        <f t="shared" si="8"/>
        <v>0.38299817295980604</v>
      </c>
      <c r="S63" s="52">
        <f t="shared" si="40"/>
        <v>0.31637120794263618</v>
      </c>
      <c r="T63" s="53">
        <f t="shared" si="41"/>
        <v>0.34968469045122108</v>
      </c>
      <c r="U63" s="24"/>
    </row>
    <row r="64" spans="1:33" x14ac:dyDescent="0.35">
      <c r="A64" s="22">
        <v>8</v>
      </c>
      <c r="B64" s="26">
        <v>45188</v>
      </c>
      <c r="C64" s="22">
        <v>26</v>
      </c>
      <c r="D64" s="22">
        <v>30</v>
      </c>
      <c r="E64" s="47">
        <f t="shared" si="2"/>
        <v>28</v>
      </c>
      <c r="F64" s="38">
        <f t="shared" si="36"/>
        <v>119.703</v>
      </c>
      <c r="G64" s="38">
        <v>121.661</v>
      </c>
      <c r="H64" s="38">
        <v>121.309</v>
      </c>
      <c r="I64" s="34">
        <f t="shared" si="38"/>
        <v>1.6059999999999945</v>
      </c>
      <c r="J64" s="34">
        <f t="shared" si="4"/>
        <v>17.977528089887851</v>
      </c>
      <c r="K64" s="38">
        <f t="shared" si="37"/>
        <v>115.55500000000001</v>
      </c>
      <c r="L64" s="38">
        <v>268.41899999999998</v>
      </c>
      <c r="M64" s="34">
        <f t="shared" si="39"/>
        <v>152.86399999999998</v>
      </c>
      <c r="N64" s="58">
        <v>1.5740000000000001</v>
      </c>
      <c r="O64" s="40">
        <v>112.9</v>
      </c>
      <c r="P64" s="36">
        <f t="shared" si="6"/>
        <v>0.15740000000000004</v>
      </c>
      <c r="Q64" s="36">
        <f t="shared" si="7"/>
        <v>0.1</v>
      </c>
      <c r="R64" s="52">
        <f t="shared" si="8"/>
        <v>0.12670174346201793</v>
      </c>
      <c r="S64" s="52">
        <f t="shared" si="40"/>
        <v>0.14175170299727488</v>
      </c>
      <c r="T64" s="53">
        <f t="shared" si="41"/>
        <v>0.13422672322964641</v>
      </c>
      <c r="U64" s="24"/>
    </row>
  </sheetData>
  <mergeCells count="19">
    <mergeCell ref="O1:O2"/>
    <mergeCell ref="P1:P2"/>
    <mergeCell ref="R1:R2"/>
    <mergeCell ref="Q1:Q2"/>
    <mergeCell ref="T1:T2"/>
    <mergeCell ref="S1:S2"/>
    <mergeCell ref="N1:N2"/>
    <mergeCell ref="A1:A2"/>
    <mergeCell ref="B1:B2"/>
    <mergeCell ref="C1:D1"/>
    <mergeCell ref="E1:E2"/>
    <mergeCell ref="F1:F2"/>
    <mergeCell ref="G1:G2"/>
    <mergeCell ref="H1:H2"/>
    <mergeCell ref="I1:I2"/>
    <mergeCell ref="K1:K2"/>
    <mergeCell ref="L1:L2"/>
    <mergeCell ref="M1:M2"/>
    <mergeCell ref="J1:J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4B4D5-1ADF-47A4-B8D1-EDF47DEF6E00}">
  <dimension ref="A1:Z65"/>
  <sheetViews>
    <sheetView zoomScale="115" zoomScaleNormal="115" workbookViewId="0">
      <pane xSplit="1" ySplit="2" topLeftCell="M3" activePane="bottomRight" state="frozen"/>
      <selection activeCell="J5" sqref="J5:J62"/>
      <selection pane="topRight" activeCell="J5" sqref="J5:J62"/>
      <selection pane="bottomLeft" activeCell="J5" sqref="J5:J62"/>
      <selection pane="bottomRight" activeCell="A55" sqref="A55"/>
    </sheetView>
  </sheetViews>
  <sheetFormatPr defaultColWidth="10.58203125" defaultRowHeight="14.5" x14ac:dyDescent="0.35"/>
  <cols>
    <col min="1" max="1" width="13.5" style="24" bestFit="1" customWidth="1"/>
    <col min="2" max="2" width="16" style="24" customWidth="1"/>
    <col min="3" max="3" width="13.5" style="24" customWidth="1"/>
    <col min="4" max="4" width="13.25" style="24" customWidth="1"/>
    <col min="5" max="5" width="16.5" style="25" customWidth="1"/>
    <col min="6" max="6" width="15.75" style="24" customWidth="1"/>
    <col min="7" max="7" width="15" style="24" customWidth="1"/>
    <col min="8" max="8" width="15.25" style="24" customWidth="1"/>
    <col min="9" max="10" width="16.5" style="24" customWidth="1"/>
    <col min="11" max="11" width="17.08203125" style="24" customWidth="1"/>
    <col min="12" max="12" width="16.25" style="24" customWidth="1"/>
    <col min="13" max="13" width="13.5" style="24" customWidth="1"/>
    <col min="14" max="15" width="11.75" style="24" customWidth="1"/>
    <col min="16" max="17" width="15.75" style="24" customWidth="1"/>
    <col min="18" max="19" width="12.75" style="44" customWidth="1"/>
    <col min="20" max="20" width="17" style="45" customWidth="1"/>
    <col min="21" max="21" width="10.58203125" style="44"/>
    <col min="22" max="16384" width="10.58203125" style="24"/>
  </cols>
  <sheetData>
    <row r="1" spans="1:23" ht="36" customHeight="1" x14ac:dyDescent="0.35">
      <c r="A1" s="76" t="s">
        <v>29</v>
      </c>
      <c r="B1" s="76" t="s">
        <v>26</v>
      </c>
      <c r="C1" s="75" t="s">
        <v>35</v>
      </c>
      <c r="D1" s="75"/>
      <c r="E1" s="75" t="s">
        <v>34</v>
      </c>
      <c r="F1" s="75" t="s">
        <v>33</v>
      </c>
      <c r="G1" s="75" t="s">
        <v>32</v>
      </c>
      <c r="H1" s="75" t="s">
        <v>31</v>
      </c>
      <c r="I1" s="75" t="s">
        <v>30</v>
      </c>
      <c r="J1" s="75" t="s">
        <v>77</v>
      </c>
      <c r="K1" s="75" t="s">
        <v>36</v>
      </c>
      <c r="L1" s="75" t="s">
        <v>37</v>
      </c>
      <c r="M1" s="75" t="s">
        <v>38</v>
      </c>
      <c r="N1" s="75" t="s">
        <v>40</v>
      </c>
      <c r="O1" s="75" t="s">
        <v>39</v>
      </c>
      <c r="P1" s="75" t="s">
        <v>41</v>
      </c>
      <c r="Q1" s="78" t="s">
        <v>42</v>
      </c>
      <c r="R1" s="77" t="s">
        <v>43</v>
      </c>
      <c r="S1" s="78"/>
      <c r="T1" s="80" t="s">
        <v>48</v>
      </c>
      <c r="U1" s="24"/>
    </row>
    <row r="2" spans="1:23" x14ac:dyDescent="0.35">
      <c r="A2" s="76"/>
      <c r="B2" s="76"/>
      <c r="C2" s="23" t="s">
        <v>27</v>
      </c>
      <c r="D2" s="23" t="s">
        <v>28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9"/>
      <c r="R2" s="77"/>
      <c r="S2" s="79"/>
      <c r="T2" s="80"/>
      <c r="U2" s="24"/>
    </row>
    <row r="3" spans="1:23" x14ac:dyDescent="0.35">
      <c r="A3" s="32"/>
      <c r="B3" s="32"/>
      <c r="C3" s="32"/>
      <c r="D3" s="32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23" s="44" customFormat="1" x14ac:dyDescent="0.35">
      <c r="A4" s="81" t="s">
        <v>86</v>
      </c>
      <c r="T4" s="45"/>
    </row>
    <row r="5" spans="1:23" x14ac:dyDescent="0.35">
      <c r="A5" s="22">
        <v>1</v>
      </c>
      <c r="B5" s="26">
        <v>45245</v>
      </c>
      <c r="C5" s="22">
        <v>0</v>
      </c>
      <c r="D5" s="22">
        <v>2</v>
      </c>
      <c r="E5" s="47">
        <f>AVERAGE(C5:D5)</f>
        <v>1</v>
      </c>
      <c r="F5" s="38">
        <v>109.91</v>
      </c>
      <c r="G5" s="38">
        <v>110.892</v>
      </c>
      <c r="H5" s="38">
        <v>110.724</v>
      </c>
      <c r="I5" s="34">
        <f>H5-F5</f>
        <v>0.81400000000000716</v>
      </c>
      <c r="J5" s="70">
        <f>100*(G5-H5)/(G5-F5)</f>
        <v>17.107942973522636</v>
      </c>
      <c r="K5" s="38">
        <v>111.08</v>
      </c>
      <c r="L5" s="38">
        <v>264.93400000000003</v>
      </c>
      <c r="M5" s="34">
        <f>L5-K5</f>
        <v>153.85400000000004</v>
      </c>
      <c r="N5" s="58">
        <v>10.866</v>
      </c>
      <c r="O5" s="40">
        <v>120.4</v>
      </c>
      <c r="P5" s="36">
        <f>((N5/1000)*0.1)*1000</f>
        <v>1.0865999999999998</v>
      </c>
      <c r="Q5" s="36">
        <v>0</v>
      </c>
      <c r="R5" s="52">
        <f>IF(ISBLANK(N5),NA(),100*((P5-Q5)/1000)*35.45/I5)</f>
        <v>4.7321830466830042</v>
      </c>
      <c r="S5" s="52"/>
      <c r="T5" s="55"/>
      <c r="U5" s="24"/>
    </row>
    <row r="6" spans="1:23" x14ac:dyDescent="0.35">
      <c r="A6" s="22">
        <v>2</v>
      </c>
      <c r="B6" s="26">
        <v>45245</v>
      </c>
      <c r="C6" s="22">
        <v>2</v>
      </c>
      <c r="D6" s="22">
        <v>6</v>
      </c>
      <c r="E6" s="47">
        <f t="shared" ref="E6:E62" si="0">AVERAGE(C6:D6)</f>
        <v>4</v>
      </c>
      <c r="F6" s="38">
        <v>113.20699999999999</v>
      </c>
      <c r="G6" s="38">
        <v>115.465</v>
      </c>
      <c r="H6" s="38">
        <v>115.08</v>
      </c>
      <c r="I6" s="34">
        <f t="shared" ref="I6:I12" si="1">H6-F6</f>
        <v>1.8730000000000047</v>
      </c>
      <c r="J6" s="70">
        <f t="shared" ref="J6:J62" si="2">100*(G6-H6)/(G6-F6)</f>
        <v>17.050487156776061</v>
      </c>
      <c r="K6" s="38">
        <v>113.29</v>
      </c>
      <c r="L6" s="38">
        <v>261.40300000000002</v>
      </c>
      <c r="M6" s="34">
        <f t="shared" ref="M6:M12" si="3">L6-K6</f>
        <v>148.113</v>
      </c>
      <c r="N6" s="58">
        <v>13.705</v>
      </c>
      <c r="O6" s="40">
        <v>149.1</v>
      </c>
      <c r="P6" s="36">
        <f t="shared" ref="P6:P62" si="4">((N6/1000)*0.1)*1000</f>
        <v>1.3705000000000003</v>
      </c>
      <c r="Q6" s="36">
        <v>0</v>
      </c>
      <c r="R6" s="52">
        <f>IF(ISBLANK(N6),NA(),100*((P6-Q6)/1000)*35.45/I6)</f>
        <v>2.5939255205552527</v>
      </c>
      <c r="S6" s="52"/>
      <c r="T6" s="55"/>
      <c r="U6" s="24"/>
    </row>
    <row r="7" spans="1:23" x14ac:dyDescent="0.35">
      <c r="A7" s="22">
        <v>3</v>
      </c>
      <c r="B7" s="26">
        <v>45245</v>
      </c>
      <c r="C7" s="22">
        <v>6</v>
      </c>
      <c r="D7" s="22">
        <v>10</v>
      </c>
      <c r="E7" s="47">
        <f t="shared" si="0"/>
        <v>8</v>
      </c>
      <c r="F7" s="38">
        <v>111.30500000000001</v>
      </c>
      <c r="G7" s="38">
        <v>113.41800000000001</v>
      </c>
      <c r="H7" s="38">
        <v>113.074</v>
      </c>
      <c r="I7" s="34">
        <f t="shared" si="1"/>
        <v>1.7689999999999912</v>
      </c>
      <c r="J7" s="70">
        <f t="shared" si="2"/>
        <v>16.280170373876402</v>
      </c>
      <c r="K7" s="38">
        <v>113.85</v>
      </c>
      <c r="L7" s="38">
        <v>263.30700000000002</v>
      </c>
      <c r="M7" s="34">
        <f t="shared" si="3"/>
        <v>149.45700000000002</v>
      </c>
      <c r="N7" s="58">
        <v>7.6870000000000003</v>
      </c>
      <c r="O7" s="40">
        <v>149.30000000000001</v>
      </c>
      <c r="P7" s="36">
        <f t="shared" si="4"/>
        <v>0.76870000000000005</v>
      </c>
      <c r="Q7" s="36">
        <v>0</v>
      </c>
      <c r="R7" s="52">
        <f t="shared" ref="R7:R62" si="5">IF(ISBLANK(N7),NA(),100*((P7-Q7)/1000)*35.45/I7)</f>
        <v>1.5404417750141401</v>
      </c>
      <c r="S7" s="52"/>
      <c r="T7" s="55"/>
      <c r="U7" s="24"/>
    </row>
    <row r="8" spans="1:23" x14ac:dyDescent="0.35">
      <c r="A8" s="22">
        <v>4</v>
      </c>
      <c r="B8" s="26">
        <v>45245</v>
      </c>
      <c r="C8" s="22">
        <v>10</v>
      </c>
      <c r="D8" s="22">
        <v>14</v>
      </c>
      <c r="E8" s="47">
        <f t="shared" si="0"/>
        <v>12</v>
      </c>
      <c r="F8" s="38">
        <v>113.82599999999999</v>
      </c>
      <c r="G8" s="38">
        <v>116.056</v>
      </c>
      <c r="H8" s="38">
        <v>115.676</v>
      </c>
      <c r="I8" s="34">
        <f t="shared" si="1"/>
        <v>1.8500000000000085</v>
      </c>
      <c r="J8" s="70">
        <f t="shared" si="2"/>
        <v>17.040358744394386</v>
      </c>
      <c r="K8" s="38">
        <v>115.66</v>
      </c>
      <c r="L8" s="38">
        <v>266.25900000000001</v>
      </c>
      <c r="M8" s="34">
        <f t="shared" si="3"/>
        <v>150.59900000000002</v>
      </c>
      <c r="N8" s="58">
        <v>4.3410000000000002</v>
      </c>
      <c r="O8" s="40">
        <v>60.2</v>
      </c>
      <c r="P8" s="36">
        <f t="shared" si="4"/>
        <v>0.43410000000000004</v>
      </c>
      <c r="Q8" s="36">
        <v>0</v>
      </c>
      <c r="R8" s="52">
        <f t="shared" si="5"/>
        <v>0.83182945945945574</v>
      </c>
      <c r="S8" s="52"/>
      <c r="T8" s="55"/>
      <c r="U8" s="24"/>
      <c r="V8" s="20" t="s">
        <v>51</v>
      </c>
    </row>
    <row r="9" spans="1:23" x14ac:dyDescent="0.35">
      <c r="A9" s="22">
        <v>5</v>
      </c>
      <c r="B9" s="26">
        <v>45245</v>
      </c>
      <c r="C9" s="22">
        <v>14</v>
      </c>
      <c r="D9" s="22">
        <v>18</v>
      </c>
      <c r="E9" s="47">
        <f t="shared" si="0"/>
        <v>16</v>
      </c>
      <c r="F9" s="38">
        <v>114.417</v>
      </c>
      <c r="G9" s="38">
        <v>117.221</v>
      </c>
      <c r="H9" s="38">
        <v>116.76600000000001</v>
      </c>
      <c r="I9" s="34">
        <f t="shared" si="1"/>
        <v>2.3490000000000038</v>
      </c>
      <c r="J9" s="70">
        <f t="shared" si="2"/>
        <v>16.226818830242436</v>
      </c>
      <c r="K9" s="38">
        <v>114.92</v>
      </c>
      <c r="L9" s="38">
        <v>261.43299999999999</v>
      </c>
      <c r="M9" s="34">
        <f t="shared" si="3"/>
        <v>146.51299999999998</v>
      </c>
      <c r="N9" s="58">
        <v>0.80600000000000005</v>
      </c>
      <c r="O9" s="40">
        <v>55.3</v>
      </c>
      <c r="P9" s="36">
        <f t="shared" si="4"/>
        <v>8.0600000000000005E-2</v>
      </c>
      <c r="Q9" s="36">
        <v>0</v>
      </c>
      <c r="R9" s="52">
        <f t="shared" si="5"/>
        <v>0.1216377181779479</v>
      </c>
      <c r="S9" s="52"/>
      <c r="T9" s="55"/>
      <c r="U9" s="24"/>
      <c r="V9" s="21" t="s">
        <v>44</v>
      </c>
      <c r="W9" s="43">
        <v>5.0516037514602896</v>
      </c>
    </row>
    <row r="10" spans="1:23" x14ac:dyDescent="0.35">
      <c r="A10" s="22">
        <v>6</v>
      </c>
      <c r="B10" s="26">
        <v>45245</v>
      </c>
      <c r="C10" s="22">
        <v>18</v>
      </c>
      <c r="D10" s="22">
        <v>22</v>
      </c>
      <c r="E10" s="47">
        <f>AVERAGE(C10:D10)</f>
        <v>20</v>
      </c>
      <c r="F10" s="38">
        <v>113.3</v>
      </c>
      <c r="G10" s="38">
        <v>115.574</v>
      </c>
      <c r="H10" s="38">
        <v>115.19799999999999</v>
      </c>
      <c r="I10" s="34">
        <f t="shared" si="1"/>
        <v>1.8979999999999961</v>
      </c>
      <c r="J10" s="70">
        <f t="shared" si="2"/>
        <v>16.534740545294838</v>
      </c>
      <c r="K10" s="38">
        <v>113.58</v>
      </c>
      <c r="L10" s="38">
        <v>263.45400000000001</v>
      </c>
      <c r="M10" s="34">
        <f t="shared" si="3"/>
        <v>149.87400000000002</v>
      </c>
      <c r="N10" s="58">
        <v>1.135</v>
      </c>
      <c r="O10" s="40">
        <v>74.2</v>
      </c>
      <c r="P10" s="36">
        <f t="shared" si="4"/>
        <v>0.11349999999999999</v>
      </c>
      <c r="Q10" s="36">
        <f t="shared" ref="Q10:Q62" si="6">0.1*0.001*1000</f>
        <v>0.1</v>
      </c>
      <c r="R10" s="52">
        <f t="shared" si="5"/>
        <v>2.5214699683877788E-2</v>
      </c>
      <c r="S10" s="52"/>
      <c r="T10" s="55"/>
      <c r="U10" s="24"/>
      <c r="V10" s="21" t="s">
        <v>45</v>
      </c>
      <c r="W10" s="21">
        <v>0</v>
      </c>
    </row>
    <row r="11" spans="1:23" x14ac:dyDescent="0.35">
      <c r="A11" s="22">
        <v>7</v>
      </c>
      <c r="B11" s="26">
        <v>45245</v>
      </c>
      <c r="C11" s="22">
        <v>22</v>
      </c>
      <c r="D11" s="22">
        <v>26</v>
      </c>
      <c r="E11" s="47">
        <f t="shared" si="0"/>
        <v>24</v>
      </c>
      <c r="F11" s="38">
        <v>113.117</v>
      </c>
      <c r="G11" s="38">
        <v>115.047</v>
      </c>
      <c r="H11" s="38">
        <v>114.74299999999999</v>
      </c>
      <c r="I11" s="34">
        <f t="shared" si="1"/>
        <v>1.6259999999999906</v>
      </c>
      <c r="J11" s="70">
        <f t="shared" si="2"/>
        <v>15.751295336787731</v>
      </c>
      <c r="K11" s="38">
        <v>112.46</v>
      </c>
      <c r="L11" s="38">
        <v>266.09300000000002</v>
      </c>
      <c r="M11" s="34">
        <f t="shared" si="3"/>
        <v>153.63300000000004</v>
      </c>
      <c r="N11" s="58">
        <v>0.91</v>
      </c>
      <c r="O11" s="40">
        <v>120</v>
      </c>
      <c r="P11" s="36">
        <f t="shared" si="4"/>
        <v>9.0999999999999998E-2</v>
      </c>
      <c r="Q11" s="36">
        <f t="shared" si="6"/>
        <v>0.1</v>
      </c>
      <c r="R11" s="52">
        <f t="shared" si="5"/>
        <v>-1.962177121771231E-2</v>
      </c>
      <c r="S11" s="52"/>
      <c r="T11" s="55"/>
      <c r="U11" s="24"/>
      <c r="V11" s="27" t="s">
        <v>47</v>
      </c>
      <c r="W11" s="64">
        <v>5.7502747810168433</v>
      </c>
    </row>
    <row r="12" spans="1:23" x14ac:dyDescent="0.35">
      <c r="A12" s="22">
        <v>8</v>
      </c>
      <c r="B12" s="26">
        <v>45245</v>
      </c>
      <c r="C12" s="22">
        <v>26</v>
      </c>
      <c r="D12" s="22">
        <v>30</v>
      </c>
      <c r="E12" s="47">
        <f t="shared" si="0"/>
        <v>28</v>
      </c>
      <c r="F12" s="38">
        <v>112.947</v>
      </c>
      <c r="G12" s="38">
        <v>114.874</v>
      </c>
      <c r="H12" s="38">
        <v>114.57599999999999</v>
      </c>
      <c r="I12" s="34">
        <f t="shared" si="1"/>
        <v>1.6289999999999907</v>
      </c>
      <c r="J12" s="70">
        <f t="shared" si="2"/>
        <v>15.464452516865748</v>
      </c>
      <c r="K12" s="38">
        <v>113.53</v>
      </c>
      <c r="L12" s="38">
        <v>266.04500000000002</v>
      </c>
      <c r="M12" s="34">
        <f t="shared" si="3"/>
        <v>152.51500000000001</v>
      </c>
      <c r="N12" s="58">
        <v>1.1579999999999999</v>
      </c>
      <c r="O12" s="40">
        <v>69.8</v>
      </c>
      <c r="P12" s="36">
        <f t="shared" si="4"/>
        <v>0.1158</v>
      </c>
      <c r="Q12" s="36">
        <f t="shared" si="6"/>
        <v>0.1</v>
      </c>
      <c r="R12" s="52">
        <f t="shared" si="5"/>
        <v>3.438367096378165E-2</v>
      </c>
      <c r="S12" s="52"/>
      <c r="T12" s="55"/>
      <c r="U12" s="24"/>
      <c r="V12" s="21" t="s">
        <v>46</v>
      </c>
      <c r="W12" s="21">
        <f>57*24*60*60</f>
        <v>4924800</v>
      </c>
    </row>
    <row r="13" spans="1:23" s="44" customFormat="1" ht="15.5" x14ac:dyDescent="0.35">
      <c r="E13" s="51"/>
      <c r="F13" s="46"/>
      <c r="G13" s="46"/>
      <c r="H13" s="46"/>
      <c r="I13" s="46"/>
      <c r="J13" s="71"/>
      <c r="K13" s="46"/>
      <c r="L13" s="46"/>
      <c r="M13" s="46"/>
      <c r="N13" s="62"/>
      <c r="Q13"/>
      <c r="R13"/>
      <c r="S13"/>
      <c r="T13" s="57"/>
    </row>
    <row r="14" spans="1:23" s="44" customFormat="1" ht="15.5" x14ac:dyDescent="0.35">
      <c r="A14" s="81" t="s">
        <v>87</v>
      </c>
      <c r="E14" s="51"/>
      <c r="F14" s="46"/>
      <c r="G14" s="46"/>
      <c r="H14" s="46"/>
      <c r="I14" s="46"/>
      <c r="J14" s="71"/>
      <c r="K14" s="46"/>
      <c r="L14" s="46"/>
      <c r="M14" s="46"/>
      <c r="N14" s="62"/>
      <c r="Q14"/>
      <c r="R14"/>
      <c r="S14"/>
      <c r="T14" s="57" t="s">
        <v>60</v>
      </c>
      <c r="V14" s="19" t="s">
        <v>50</v>
      </c>
      <c r="W14" s="19" t="s">
        <v>49</v>
      </c>
    </row>
    <row r="15" spans="1:23" x14ac:dyDescent="0.35">
      <c r="A15" s="22">
        <v>1</v>
      </c>
      <c r="B15" s="26"/>
      <c r="C15" s="22">
        <v>0</v>
      </c>
      <c r="D15" s="22">
        <v>2</v>
      </c>
      <c r="E15" s="47">
        <f t="shared" si="0"/>
        <v>1</v>
      </c>
      <c r="F15" s="38">
        <v>129.30000000000001</v>
      </c>
      <c r="G15" s="38"/>
      <c r="H15" s="38"/>
      <c r="I15" s="34">
        <f>H15-F15</f>
        <v>-129.30000000000001</v>
      </c>
      <c r="J15" s="70">
        <f t="shared" si="2"/>
        <v>0</v>
      </c>
      <c r="K15" s="38">
        <f>K5</f>
        <v>111.08</v>
      </c>
      <c r="L15" s="38"/>
      <c r="M15" s="34">
        <f>L15-K15</f>
        <v>-111.08</v>
      </c>
      <c r="N15" s="59"/>
      <c r="O15" s="40"/>
      <c r="P15" s="36">
        <f t="shared" si="4"/>
        <v>0</v>
      </c>
      <c r="Q15" s="36">
        <f t="shared" si="6"/>
        <v>0.1</v>
      </c>
      <c r="R15" s="52" t="e">
        <f t="shared" si="5"/>
        <v>#N/A</v>
      </c>
      <c r="S15" s="52">
        <f>R5</f>
        <v>4.7321830466830042</v>
      </c>
      <c r="T15" s="55">
        <f>IF(S15="#N/A",NA(),AVERAGEIF(R15:S15,"&lt;&gt;#N/A"))</f>
        <v>4.7321830466830042</v>
      </c>
      <c r="U15" s="24"/>
      <c r="V15" s="42">
        <f>$W$9-($W$9-$W$10)*ERF((E15/1000)/SQRT(4*$W$11*10^(-12)*$W$12))</f>
        <v>4.5176062061691473</v>
      </c>
      <c r="W15" s="42">
        <f>(T15-V15)^2</f>
        <v>4.604322048490915E-2</v>
      </c>
    </row>
    <row r="16" spans="1:23" x14ac:dyDescent="0.35">
      <c r="A16" s="22">
        <v>2</v>
      </c>
      <c r="B16" s="26"/>
      <c r="C16" s="22">
        <v>2</v>
      </c>
      <c r="D16" s="22">
        <v>6</v>
      </c>
      <c r="E16" s="47">
        <f>AVERAGE(C16:D16)</f>
        <v>4</v>
      </c>
      <c r="F16" s="38">
        <v>131.88</v>
      </c>
      <c r="G16" s="38"/>
      <c r="H16" s="38"/>
      <c r="I16" s="34">
        <f t="shared" ref="I16:I22" si="7">H16-F16</f>
        <v>-131.88</v>
      </c>
      <c r="J16" s="70">
        <f t="shared" si="2"/>
        <v>0</v>
      </c>
      <c r="K16" s="38">
        <f t="shared" ref="K16:K22" si="8">K6</f>
        <v>113.29</v>
      </c>
      <c r="L16" s="38"/>
      <c r="M16" s="34">
        <f t="shared" ref="M16:M22" si="9">L16-K16</f>
        <v>-113.29</v>
      </c>
      <c r="N16" s="58"/>
      <c r="O16" s="40"/>
      <c r="P16" s="36">
        <f t="shared" si="4"/>
        <v>0</v>
      </c>
      <c r="Q16" s="36">
        <f t="shared" si="6"/>
        <v>0.1</v>
      </c>
      <c r="R16" s="52" t="e">
        <f t="shared" si="5"/>
        <v>#N/A</v>
      </c>
      <c r="S16" s="52">
        <f t="shared" ref="S16:S22" si="10">R6</f>
        <v>2.5939255205552527</v>
      </c>
      <c r="T16" s="55">
        <f t="shared" ref="T16:T22" si="11">IF(S16="#N/A",NA(),AVERAGEIF(R16:S16,"&lt;&gt;#N/A"))</f>
        <v>2.5939255205552527</v>
      </c>
      <c r="U16" s="24"/>
      <c r="V16" s="42">
        <f t="shared" ref="V16:V22" si="12">$W$9-($W$9-$W$10)*ERF((E16/1000)/SQRT(4*$W$11*10^(-12)*$W$12))</f>
        <v>3.0060562812664782</v>
      </c>
      <c r="W16" s="42">
        <f>(T16-V16)^2</f>
        <v>0.16985176392441337</v>
      </c>
    </row>
    <row r="17" spans="1:23" x14ac:dyDescent="0.35">
      <c r="A17" s="22">
        <v>3</v>
      </c>
      <c r="B17" s="26"/>
      <c r="C17" s="22">
        <v>6</v>
      </c>
      <c r="D17" s="22">
        <v>10</v>
      </c>
      <c r="E17" s="47">
        <f t="shared" si="0"/>
        <v>8</v>
      </c>
      <c r="F17" s="38">
        <v>130.72</v>
      </c>
      <c r="G17" s="38"/>
      <c r="H17" s="38"/>
      <c r="I17" s="34">
        <f t="shared" si="7"/>
        <v>-130.72</v>
      </c>
      <c r="J17" s="70">
        <f t="shared" si="2"/>
        <v>0</v>
      </c>
      <c r="K17" s="38">
        <f t="shared" si="8"/>
        <v>113.85</v>
      </c>
      <c r="L17" s="38"/>
      <c r="M17" s="34">
        <f t="shared" si="9"/>
        <v>-113.85</v>
      </c>
      <c r="N17" s="58"/>
      <c r="O17" s="40"/>
      <c r="P17" s="36">
        <f t="shared" si="4"/>
        <v>0</v>
      </c>
      <c r="Q17" s="36">
        <f t="shared" si="6"/>
        <v>0.1</v>
      </c>
      <c r="R17" s="52" t="e">
        <f t="shared" si="5"/>
        <v>#N/A</v>
      </c>
      <c r="S17" s="52">
        <f t="shared" si="10"/>
        <v>1.5404417750141401</v>
      </c>
      <c r="T17" s="55">
        <f t="shared" si="11"/>
        <v>1.5404417750141401</v>
      </c>
      <c r="U17" s="24"/>
      <c r="V17" s="42">
        <f t="shared" si="12"/>
        <v>1.4537428543569724</v>
      </c>
      <c r="W17" s="42">
        <f t="shared" ref="W17:W22" si="13">(T17-V17)^2</f>
        <v>7.5167028431178734E-3</v>
      </c>
    </row>
    <row r="18" spans="1:23" x14ac:dyDescent="0.35">
      <c r="A18" s="22">
        <v>4</v>
      </c>
      <c r="B18" s="26"/>
      <c r="C18" s="22">
        <v>10</v>
      </c>
      <c r="D18" s="22">
        <v>14</v>
      </c>
      <c r="E18" s="47">
        <f t="shared" si="0"/>
        <v>12</v>
      </c>
      <c r="F18" s="38">
        <v>128.25</v>
      </c>
      <c r="G18" s="38"/>
      <c r="H18" s="38"/>
      <c r="I18" s="34">
        <f t="shared" si="7"/>
        <v>-128.25</v>
      </c>
      <c r="J18" s="70">
        <f t="shared" si="2"/>
        <v>0</v>
      </c>
      <c r="K18" s="38">
        <f t="shared" si="8"/>
        <v>115.66</v>
      </c>
      <c r="L18" s="38"/>
      <c r="M18" s="34">
        <f t="shared" si="9"/>
        <v>-115.66</v>
      </c>
      <c r="N18" s="58"/>
      <c r="O18" s="40"/>
      <c r="P18" s="36">
        <f t="shared" si="4"/>
        <v>0</v>
      </c>
      <c r="Q18" s="36">
        <f t="shared" si="6"/>
        <v>0.1</v>
      </c>
      <c r="R18" s="52" t="e">
        <f t="shared" si="5"/>
        <v>#N/A</v>
      </c>
      <c r="S18" s="52">
        <f t="shared" si="10"/>
        <v>0.83182945945945574</v>
      </c>
      <c r="T18" s="55">
        <f t="shared" si="11"/>
        <v>0.83182945945945574</v>
      </c>
      <c r="U18" s="24"/>
      <c r="V18" s="42">
        <f t="shared" si="12"/>
        <v>0.55982641553129397</v>
      </c>
      <c r="W18" s="42">
        <f t="shared" si="13"/>
        <v>7.3985655906185499E-2</v>
      </c>
    </row>
    <row r="19" spans="1:23" x14ac:dyDescent="0.35">
      <c r="A19" s="22">
        <v>5</v>
      </c>
      <c r="B19" s="26"/>
      <c r="C19" s="22">
        <v>14</v>
      </c>
      <c r="D19" s="22">
        <v>18</v>
      </c>
      <c r="E19" s="47">
        <f t="shared" si="0"/>
        <v>16</v>
      </c>
      <c r="F19" s="38">
        <v>129.37</v>
      </c>
      <c r="G19" s="38"/>
      <c r="H19" s="38"/>
      <c r="I19" s="34">
        <f t="shared" si="7"/>
        <v>-129.37</v>
      </c>
      <c r="J19" s="70">
        <f t="shared" si="2"/>
        <v>0</v>
      </c>
      <c r="K19" s="38">
        <f t="shared" si="8"/>
        <v>114.92</v>
      </c>
      <c r="L19" s="38"/>
      <c r="M19" s="34">
        <f t="shared" si="9"/>
        <v>-114.92</v>
      </c>
      <c r="N19" s="58"/>
      <c r="O19" s="40"/>
      <c r="P19" s="36">
        <f t="shared" si="4"/>
        <v>0</v>
      </c>
      <c r="Q19" s="36">
        <f t="shared" si="6"/>
        <v>0.1</v>
      </c>
      <c r="R19" s="52" t="e">
        <f t="shared" si="5"/>
        <v>#N/A</v>
      </c>
      <c r="S19" s="52">
        <f t="shared" si="10"/>
        <v>0.1216377181779479</v>
      </c>
      <c r="T19" s="55">
        <f t="shared" si="11"/>
        <v>0.1216377181779479</v>
      </c>
      <c r="U19" s="24"/>
      <c r="V19" s="42">
        <f t="shared" si="12"/>
        <v>0.16923875411333711</v>
      </c>
      <c r="W19" s="42">
        <f t="shared" si="13"/>
        <v>2.2658586221222148E-3</v>
      </c>
    </row>
    <row r="20" spans="1:23" x14ac:dyDescent="0.35">
      <c r="A20" s="22">
        <v>6</v>
      </c>
      <c r="B20" s="26"/>
      <c r="C20" s="22">
        <v>18</v>
      </c>
      <c r="D20" s="22">
        <v>22</v>
      </c>
      <c r="E20" s="47">
        <f t="shared" si="0"/>
        <v>20</v>
      </c>
      <c r="F20" s="38">
        <v>116.36</v>
      </c>
      <c r="G20" s="38"/>
      <c r="H20" s="38"/>
      <c r="I20" s="34">
        <f t="shared" si="7"/>
        <v>-116.36</v>
      </c>
      <c r="J20" s="70">
        <f t="shared" si="2"/>
        <v>0</v>
      </c>
      <c r="K20" s="38">
        <f t="shared" si="8"/>
        <v>113.58</v>
      </c>
      <c r="L20" s="38"/>
      <c r="M20" s="34">
        <f t="shared" si="9"/>
        <v>-113.58</v>
      </c>
      <c r="N20" s="58"/>
      <c r="O20" s="40"/>
      <c r="P20" s="36">
        <f t="shared" si="4"/>
        <v>0</v>
      </c>
      <c r="Q20" s="36">
        <f t="shared" si="6"/>
        <v>0.1</v>
      </c>
      <c r="R20" s="52" t="e">
        <f t="shared" si="5"/>
        <v>#N/A</v>
      </c>
      <c r="S20" s="52">
        <f t="shared" si="10"/>
        <v>2.5214699683877788E-2</v>
      </c>
      <c r="T20" s="55">
        <f t="shared" si="11"/>
        <v>2.5214699683877788E-2</v>
      </c>
      <c r="U20" s="24"/>
      <c r="V20" s="42">
        <f t="shared" si="12"/>
        <v>3.976527629400195E-2</v>
      </c>
      <c r="W20" s="42">
        <f t="shared" si="13"/>
        <v>2.1171927968709236E-4</v>
      </c>
    </row>
    <row r="21" spans="1:23" x14ac:dyDescent="0.35">
      <c r="A21" s="22">
        <v>7</v>
      </c>
      <c r="B21" s="26"/>
      <c r="C21" s="22">
        <v>22</v>
      </c>
      <c r="D21" s="22">
        <v>26</v>
      </c>
      <c r="E21" s="47">
        <f t="shared" si="0"/>
        <v>24</v>
      </c>
      <c r="F21" s="38">
        <v>130.97</v>
      </c>
      <c r="G21" s="38"/>
      <c r="H21" s="38"/>
      <c r="I21" s="34">
        <f t="shared" si="7"/>
        <v>-130.97</v>
      </c>
      <c r="J21" s="70">
        <f t="shared" si="2"/>
        <v>0</v>
      </c>
      <c r="K21" s="38">
        <f t="shared" si="8"/>
        <v>112.46</v>
      </c>
      <c r="L21" s="38"/>
      <c r="M21" s="34">
        <f t="shared" si="9"/>
        <v>-112.46</v>
      </c>
      <c r="N21" s="58"/>
      <c r="O21" s="40"/>
      <c r="P21" s="36">
        <f t="shared" si="4"/>
        <v>0</v>
      </c>
      <c r="Q21" s="36">
        <f t="shared" si="6"/>
        <v>0.1</v>
      </c>
      <c r="R21" s="52" t="e">
        <f t="shared" si="5"/>
        <v>#N/A</v>
      </c>
      <c r="S21" s="52">
        <f t="shared" si="10"/>
        <v>-1.962177121771231E-2</v>
      </c>
      <c r="T21" s="55">
        <f t="shared" si="11"/>
        <v>-1.962177121771231E-2</v>
      </c>
      <c r="U21" s="24"/>
      <c r="V21" s="42">
        <f t="shared" si="12"/>
        <v>7.2113937043774001E-3</v>
      </c>
      <c r="W21" s="42">
        <f t="shared" si="13"/>
        <v>7.200187397360657E-4</v>
      </c>
    </row>
    <row r="22" spans="1:23" x14ac:dyDescent="0.35">
      <c r="A22" s="22">
        <v>8</v>
      </c>
      <c r="B22" s="26"/>
      <c r="C22" s="22">
        <v>26</v>
      </c>
      <c r="D22" s="22">
        <v>30</v>
      </c>
      <c r="E22" s="47">
        <f t="shared" si="0"/>
        <v>28</v>
      </c>
      <c r="F22" s="38">
        <v>125.85</v>
      </c>
      <c r="G22" s="38"/>
      <c r="H22" s="38"/>
      <c r="I22" s="34">
        <f t="shared" si="7"/>
        <v>-125.85</v>
      </c>
      <c r="J22" s="70">
        <f t="shared" si="2"/>
        <v>0</v>
      </c>
      <c r="K22" s="38">
        <f t="shared" si="8"/>
        <v>113.53</v>
      </c>
      <c r="L22" s="38"/>
      <c r="M22" s="34">
        <f t="shared" si="9"/>
        <v>-113.53</v>
      </c>
      <c r="N22" s="58"/>
      <c r="O22" s="40"/>
      <c r="P22" s="36">
        <f t="shared" si="4"/>
        <v>0</v>
      </c>
      <c r="Q22" s="36">
        <f t="shared" si="6"/>
        <v>0.1</v>
      </c>
      <c r="R22" s="52" t="e">
        <f t="shared" si="5"/>
        <v>#N/A</v>
      </c>
      <c r="S22" s="52">
        <f t="shared" si="10"/>
        <v>3.438367096378165E-2</v>
      </c>
      <c r="T22" s="55">
        <f t="shared" si="11"/>
        <v>3.438367096378165E-2</v>
      </c>
      <c r="U22" s="24"/>
      <c r="V22" s="42">
        <f t="shared" si="12"/>
        <v>1.0042974976283148E-3</v>
      </c>
      <c r="W22" s="42">
        <f t="shared" si="13"/>
        <v>1.1141825729929413E-3</v>
      </c>
    </row>
    <row r="23" spans="1:23" ht="15.5" x14ac:dyDescent="0.35">
      <c r="E23" s="49"/>
      <c r="F23" s="37"/>
      <c r="G23" s="37"/>
      <c r="H23" s="37"/>
      <c r="I23" s="37"/>
      <c r="J23" s="71"/>
      <c r="K23" s="37"/>
      <c r="L23" s="37"/>
      <c r="M23" s="37"/>
      <c r="N23" s="60"/>
      <c r="O23" s="44"/>
      <c r="P23" s="44"/>
      <c r="Q23"/>
      <c r="R23"/>
      <c r="S23"/>
      <c r="T23" s="57"/>
      <c r="V23" s="21"/>
      <c r="W23" s="42">
        <f>SUM(W15:W22)</f>
        <v>0.30170912237316416</v>
      </c>
    </row>
    <row r="24" spans="1:23" ht="15.5" x14ac:dyDescent="0.35">
      <c r="A24" s="81" t="s">
        <v>88</v>
      </c>
      <c r="E24" s="49"/>
      <c r="F24" s="37"/>
      <c r="G24" s="37"/>
      <c r="H24" s="37"/>
      <c r="I24" s="37"/>
      <c r="J24" s="71"/>
      <c r="K24" s="37"/>
      <c r="L24" s="37"/>
      <c r="M24" s="37"/>
      <c r="N24" s="61"/>
      <c r="O24" s="44"/>
      <c r="P24" s="44"/>
      <c r="Q24"/>
      <c r="R24"/>
      <c r="S24"/>
      <c r="T24" s="57"/>
    </row>
    <row r="25" spans="1:23" x14ac:dyDescent="0.35">
      <c r="A25" s="22">
        <v>1</v>
      </c>
      <c r="B25" s="26">
        <v>45247</v>
      </c>
      <c r="C25" s="22">
        <v>0</v>
      </c>
      <c r="D25" s="22">
        <v>2</v>
      </c>
      <c r="E25" s="47">
        <f t="shared" si="0"/>
        <v>1</v>
      </c>
      <c r="F25" s="38">
        <f>F5</f>
        <v>109.91</v>
      </c>
      <c r="G25" s="38">
        <v>110.996</v>
      </c>
      <c r="H25" s="38">
        <v>110.76</v>
      </c>
      <c r="I25" s="34">
        <f>H25-F25</f>
        <v>0.85000000000000853</v>
      </c>
      <c r="J25" s="70">
        <f t="shared" si="2"/>
        <v>21.731123388581061</v>
      </c>
      <c r="K25" s="38">
        <f>K5</f>
        <v>111.08</v>
      </c>
      <c r="L25" s="38">
        <v>265.03399999999999</v>
      </c>
      <c r="M25" s="34">
        <f>L25-K25</f>
        <v>153.95400000000001</v>
      </c>
      <c r="N25" s="59">
        <v>7.6890000000000001</v>
      </c>
      <c r="O25" s="40">
        <v>120.1</v>
      </c>
      <c r="P25" s="36">
        <f t="shared" si="4"/>
        <v>0.76890000000000003</v>
      </c>
      <c r="Q25" s="36">
        <v>0</v>
      </c>
      <c r="R25" s="52">
        <f t="shared" si="5"/>
        <v>3.206765294117615</v>
      </c>
      <c r="S25" s="52"/>
      <c r="T25" s="55"/>
      <c r="U25" s="24"/>
    </row>
    <row r="26" spans="1:23" x14ac:dyDescent="0.35">
      <c r="A26" s="22">
        <v>2</v>
      </c>
      <c r="B26" s="26">
        <v>45247</v>
      </c>
      <c r="C26" s="22">
        <v>2</v>
      </c>
      <c r="D26" s="22">
        <v>6</v>
      </c>
      <c r="E26" s="47">
        <f t="shared" si="0"/>
        <v>4</v>
      </c>
      <c r="F26" s="38">
        <f t="shared" ref="F26:F32" si="14">F6</f>
        <v>113.20699999999999</v>
      </c>
      <c r="G26" s="38">
        <v>115.547</v>
      </c>
      <c r="H26" s="38">
        <v>115.078</v>
      </c>
      <c r="I26" s="34">
        <f t="shared" ref="I26:I32" si="15">H26-F26</f>
        <v>1.8710000000000093</v>
      </c>
      <c r="J26" s="70">
        <f t="shared" si="2"/>
        <v>20.042735042734762</v>
      </c>
      <c r="K26" s="38">
        <f t="shared" ref="K26:K32" si="16">K6</f>
        <v>113.29</v>
      </c>
      <c r="L26" s="38">
        <v>263.72000000000003</v>
      </c>
      <c r="M26" s="34">
        <f t="shared" ref="M26:M32" si="17">L26-K26</f>
        <v>150.43</v>
      </c>
      <c r="N26" s="58">
        <v>10.352</v>
      </c>
      <c r="O26" s="40">
        <v>112.4</v>
      </c>
      <c r="P26" s="36">
        <f t="shared" si="4"/>
        <v>1.0352000000000001</v>
      </c>
      <c r="Q26" s="36">
        <v>0</v>
      </c>
      <c r="R26" s="52">
        <f t="shared" si="5"/>
        <v>1.9614024585782912</v>
      </c>
      <c r="S26" s="52"/>
      <c r="T26" s="55"/>
      <c r="U26" s="24"/>
    </row>
    <row r="27" spans="1:23" x14ac:dyDescent="0.35">
      <c r="A27" s="22">
        <v>3</v>
      </c>
      <c r="B27" s="26">
        <v>45247</v>
      </c>
      <c r="C27" s="22">
        <v>6</v>
      </c>
      <c r="D27" s="22">
        <v>10</v>
      </c>
      <c r="E27" s="47">
        <f t="shared" si="0"/>
        <v>8</v>
      </c>
      <c r="F27" s="38">
        <f t="shared" si="14"/>
        <v>111.30500000000001</v>
      </c>
      <c r="G27" s="38">
        <v>113.291</v>
      </c>
      <c r="H27" s="38">
        <v>112.922</v>
      </c>
      <c r="I27" s="34">
        <f t="shared" si="15"/>
        <v>1.6169999999999902</v>
      </c>
      <c r="J27" s="70">
        <f t="shared" si="2"/>
        <v>18.580060422960806</v>
      </c>
      <c r="K27" s="38">
        <f t="shared" si="16"/>
        <v>113.85</v>
      </c>
      <c r="L27" s="38">
        <v>264.23</v>
      </c>
      <c r="M27" s="34">
        <f t="shared" si="17"/>
        <v>150.38000000000002</v>
      </c>
      <c r="N27" s="58">
        <v>4.2919999999999998</v>
      </c>
      <c r="O27" s="40">
        <v>61.5</v>
      </c>
      <c r="P27" s="36">
        <f t="shared" si="4"/>
        <v>0.42920000000000003</v>
      </c>
      <c r="Q27" s="36">
        <v>0</v>
      </c>
      <c r="R27" s="52">
        <f t="shared" si="5"/>
        <v>0.9409486703772475</v>
      </c>
      <c r="S27" s="52"/>
      <c r="T27" s="55"/>
      <c r="U27" s="24"/>
      <c r="V27" s="20" t="s">
        <v>52</v>
      </c>
    </row>
    <row r="28" spans="1:23" x14ac:dyDescent="0.35">
      <c r="A28" s="22">
        <v>4</v>
      </c>
      <c r="B28" s="26">
        <v>45247</v>
      </c>
      <c r="C28" s="22">
        <v>10</v>
      </c>
      <c r="D28" s="22">
        <v>14</v>
      </c>
      <c r="E28" s="47">
        <f t="shared" si="0"/>
        <v>12</v>
      </c>
      <c r="F28" s="38">
        <f t="shared" si="14"/>
        <v>113.82599999999999</v>
      </c>
      <c r="G28" s="38">
        <v>116.072</v>
      </c>
      <c r="H28" s="38">
        <v>115.634</v>
      </c>
      <c r="I28" s="34">
        <f t="shared" si="15"/>
        <v>1.8080000000000069</v>
      </c>
      <c r="J28" s="70">
        <f t="shared" si="2"/>
        <v>19.501335707925225</v>
      </c>
      <c r="K28" s="38">
        <f t="shared" si="16"/>
        <v>115.66</v>
      </c>
      <c r="L28" s="38">
        <v>265.67200000000003</v>
      </c>
      <c r="M28" s="34">
        <f t="shared" si="17"/>
        <v>150.01200000000003</v>
      </c>
      <c r="N28" s="58">
        <v>1.415</v>
      </c>
      <c r="O28" s="40">
        <v>65.099999999999994</v>
      </c>
      <c r="P28" s="36">
        <f t="shared" si="4"/>
        <v>0.14149999999999999</v>
      </c>
      <c r="Q28" s="36">
        <v>0</v>
      </c>
      <c r="R28" s="52">
        <f t="shared" si="5"/>
        <v>0.27744330752212287</v>
      </c>
      <c r="S28" s="52"/>
      <c r="T28" s="55"/>
      <c r="U28" s="24"/>
      <c r="V28" s="21" t="s">
        <v>44</v>
      </c>
      <c r="W28" s="43">
        <v>3.4626523554245399</v>
      </c>
    </row>
    <row r="29" spans="1:23" x14ac:dyDescent="0.35">
      <c r="A29" s="22">
        <v>5</v>
      </c>
      <c r="B29" s="26">
        <v>45247</v>
      </c>
      <c r="C29" s="22">
        <v>14</v>
      </c>
      <c r="D29" s="22">
        <v>18</v>
      </c>
      <c r="E29" s="47">
        <f t="shared" si="0"/>
        <v>16</v>
      </c>
      <c r="F29" s="38">
        <f t="shared" si="14"/>
        <v>114.417</v>
      </c>
      <c r="G29" s="38">
        <v>116.685</v>
      </c>
      <c r="H29" s="63">
        <v>116.25</v>
      </c>
      <c r="I29" s="34">
        <f t="shared" si="15"/>
        <v>1.8329999999999984</v>
      </c>
      <c r="J29" s="70">
        <f t="shared" si="2"/>
        <v>19.179894179894273</v>
      </c>
      <c r="K29" s="38">
        <f t="shared" si="16"/>
        <v>114.92</v>
      </c>
      <c r="L29" s="38">
        <v>262.05</v>
      </c>
      <c r="M29" s="34">
        <f t="shared" si="17"/>
        <v>147.13</v>
      </c>
      <c r="N29" s="58">
        <v>1.1379999999999999</v>
      </c>
      <c r="O29" s="40">
        <v>78.900000000000006</v>
      </c>
      <c r="P29" s="36">
        <f t="shared" si="4"/>
        <v>0.1138</v>
      </c>
      <c r="Q29" s="36">
        <f t="shared" si="6"/>
        <v>0.1</v>
      </c>
      <c r="R29" s="52">
        <f t="shared" si="5"/>
        <v>2.6689034369885446E-2</v>
      </c>
      <c r="S29" s="52"/>
      <c r="T29" s="55"/>
      <c r="U29" s="24"/>
      <c r="V29" s="21" t="s">
        <v>45</v>
      </c>
      <c r="W29" s="21">
        <v>0</v>
      </c>
    </row>
    <row r="30" spans="1:23" x14ac:dyDescent="0.35">
      <c r="A30" s="22">
        <v>6</v>
      </c>
      <c r="B30" s="26">
        <v>45247</v>
      </c>
      <c r="C30" s="22">
        <v>18</v>
      </c>
      <c r="D30" s="22">
        <v>22</v>
      </c>
      <c r="E30" s="47">
        <f t="shared" si="0"/>
        <v>20</v>
      </c>
      <c r="F30" s="38">
        <f t="shared" si="14"/>
        <v>113.3</v>
      </c>
      <c r="G30" s="38">
        <v>115.099</v>
      </c>
      <c r="H30" s="38">
        <v>114.752</v>
      </c>
      <c r="I30" s="34">
        <f t="shared" si="15"/>
        <v>1.4519999999999982</v>
      </c>
      <c r="J30" s="70">
        <f t="shared" si="2"/>
        <v>19.288493607560152</v>
      </c>
      <c r="K30" s="38">
        <f t="shared" si="16"/>
        <v>113.58</v>
      </c>
      <c r="L30" s="38">
        <v>263.87200000000001</v>
      </c>
      <c r="M30" s="34">
        <f t="shared" si="17"/>
        <v>150.29200000000003</v>
      </c>
      <c r="N30" s="58">
        <v>0.98499999999999999</v>
      </c>
      <c r="O30" s="40">
        <v>114.4</v>
      </c>
      <c r="P30" s="36">
        <f t="shared" si="4"/>
        <v>9.8500000000000004E-2</v>
      </c>
      <c r="Q30" s="36">
        <f t="shared" si="6"/>
        <v>0.1</v>
      </c>
      <c r="R30" s="52">
        <f t="shared" si="5"/>
        <v>-3.662190082644636E-3</v>
      </c>
      <c r="S30" s="52"/>
      <c r="T30" s="55"/>
      <c r="U30" s="24"/>
      <c r="V30" s="27" t="s">
        <v>47</v>
      </c>
      <c r="W30" s="64">
        <v>4.5057611607830248</v>
      </c>
    </row>
    <row r="31" spans="1:23" x14ac:dyDescent="0.35">
      <c r="A31" s="22">
        <v>7</v>
      </c>
      <c r="B31" s="26">
        <v>45247</v>
      </c>
      <c r="C31" s="22">
        <v>22</v>
      </c>
      <c r="D31" s="22">
        <v>26</v>
      </c>
      <c r="E31" s="47">
        <f t="shared" si="0"/>
        <v>24</v>
      </c>
      <c r="F31" s="38">
        <f t="shared" si="14"/>
        <v>113.117</v>
      </c>
      <c r="G31" s="38">
        <v>114.664</v>
      </c>
      <c r="H31" s="38">
        <v>114.36199999999999</v>
      </c>
      <c r="I31" s="34">
        <f t="shared" si="15"/>
        <v>1.2449999999999903</v>
      </c>
      <c r="J31" s="70">
        <f t="shared" si="2"/>
        <v>19.521654815772933</v>
      </c>
      <c r="K31" s="38">
        <f t="shared" si="16"/>
        <v>112.46</v>
      </c>
      <c r="L31" s="38">
        <v>265.041</v>
      </c>
      <c r="M31" s="34">
        <f t="shared" si="17"/>
        <v>152.58100000000002</v>
      </c>
      <c r="N31" s="58">
        <v>1.0900000000000001</v>
      </c>
      <c r="O31" s="40">
        <v>92.4</v>
      </c>
      <c r="P31" s="36">
        <f t="shared" si="4"/>
        <v>0.10900000000000001</v>
      </c>
      <c r="Q31" s="36">
        <f t="shared" si="6"/>
        <v>0.1</v>
      </c>
      <c r="R31" s="52">
        <f t="shared" si="5"/>
        <v>2.562650602409661E-2</v>
      </c>
      <c r="S31" s="52"/>
      <c r="T31" s="55"/>
      <c r="U31" s="24"/>
      <c r="V31" s="21" t="s">
        <v>46</v>
      </c>
      <c r="W31" s="21">
        <f>64*24*60*60</f>
        <v>5529600</v>
      </c>
    </row>
    <row r="32" spans="1:23" x14ac:dyDescent="0.35">
      <c r="A32" s="22">
        <v>8</v>
      </c>
      <c r="B32" s="26">
        <v>45247</v>
      </c>
      <c r="C32" s="22">
        <v>26</v>
      </c>
      <c r="D32" s="22">
        <v>30</v>
      </c>
      <c r="E32" s="47">
        <f t="shared" si="0"/>
        <v>28</v>
      </c>
      <c r="F32" s="38">
        <f t="shared" si="14"/>
        <v>112.947</v>
      </c>
      <c r="G32" s="38"/>
      <c r="H32" s="38"/>
      <c r="I32" s="34">
        <f t="shared" si="15"/>
        <v>-112.947</v>
      </c>
      <c r="J32" s="70">
        <f t="shared" si="2"/>
        <v>0</v>
      </c>
      <c r="K32" s="38">
        <f t="shared" si="16"/>
        <v>113.53</v>
      </c>
      <c r="L32" s="38"/>
      <c r="M32" s="34">
        <f t="shared" si="17"/>
        <v>-113.53</v>
      </c>
      <c r="N32" s="58"/>
      <c r="O32" s="40"/>
      <c r="P32" s="36">
        <f t="shared" si="4"/>
        <v>0</v>
      </c>
      <c r="Q32" s="36">
        <f t="shared" si="6"/>
        <v>0.1</v>
      </c>
      <c r="R32" s="52" t="e">
        <f t="shared" si="5"/>
        <v>#N/A</v>
      </c>
      <c r="S32" s="52"/>
      <c r="T32" s="55"/>
      <c r="U32" s="24"/>
    </row>
    <row r="33" spans="1:26" ht="15.5" x14ac:dyDescent="0.35">
      <c r="E33" s="49"/>
      <c r="F33" s="37"/>
      <c r="G33" s="37"/>
      <c r="H33" s="37"/>
      <c r="I33" s="37"/>
      <c r="J33" s="71"/>
      <c r="K33" s="37"/>
      <c r="L33" s="37"/>
      <c r="M33" s="37"/>
      <c r="N33" s="60"/>
      <c r="O33" s="44"/>
      <c r="P33" s="44"/>
      <c r="Q33"/>
      <c r="R33"/>
      <c r="S33"/>
      <c r="T33" s="57"/>
      <c r="V33" s="19" t="s">
        <v>50</v>
      </c>
      <c r="W33" s="19" t="s">
        <v>49</v>
      </c>
      <c r="Y33" s="19" t="s">
        <v>50</v>
      </c>
      <c r="Z33" s="19" t="s">
        <v>49</v>
      </c>
    </row>
    <row r="34" spans="1:26" ht="15.5" x14ac:dyDescent="0.35">
      <c r="A34" s="81" t="s">
        <v>89</v>
      </c>
      <c r="E34" s="73">
        <v>0</v>
      </c>
      <c r="F34" s="37"/>
      <c r="G34" s="37"/>
      <c r="H34" s="37"/>
      <c r="I34" s="37"/>
      <c r="J34" s="71"/>
      <c r="K34" s="37"/>
      <c r="L34" s="37"/>
      <c r="M34" s="37"/>
      <c r="N34" s="61"/>
      <c r="O34" s="44"/>
      <c r="P34" s="44"/>
      <c r="Q34"/>
      <c r="R34"/>
      <c r="S34"/>
      <c r="T34" s="57" t="s">
        <v>61</v>
      </c>
      <c r="V34" s="42">
        <f t="shared" ref="V34:V42" si="18">$W$28-($W$28-$W$29)*ERF((E34/1000)/SQRT(4*$W$30*10^(-12)*$W$31))</f>
        <v>3.4626523554245399</v>
      </c>
      <c r="W34" s="42"/>
      <c r="Y34" s="21">
        <v>2.96</v>
      </c>
      <c r="Z34" s="42"/>
    </row>
    <row r="35" spans="1:26" x14ac:dyDescent="0.35">
      <c r="A35" s="22">
        <v>1</v>
      </c>
      <c r="B35" s="26"/>
      <c r="C35" s="22">
        <v>0</v>
      </c>
      <c r="D35" s="22">
        <v>2</v>
      </c>
      <c r="E35" s="47">
        <f t="shared" si="0"/>
        <v>1</v>
      </c>
      <c r="F35" s="38">
        <f>F15</f>
        <v>129.30000000000001</v>
      </c>
      <c r="G35" s="38"/>
      <c r="H35" s="38"/>
      <c r="I35" s="34">
        <f>H35-F35</f>
        <v>-129.30000000000001</v>
      </c>
      <c r="J35" s="70">
        <f t="shared" si="2"/>
        <v>0</v>
      </c>
      <c r="K35" s="38">
        <f>K5</f>
        <v>111.08</v>
      </c>
      <c r="L35" s="38"/>
      <c r="M35" s="34">
        <f>L35-K35</f>
        <v>-111.08</v>
      </c>
      <c r="N35" s="59"/>
      <c r="O35" s="40"/>
      <c r="P35" s="36">
        <f t="shared" si="4"/>
        <v>0</v>
      </c>
      <c r="Q35" s="36">
        <f t="shared" si="6"/>
        <v>0.1</v>
      </c>
      <c r="R35" s="52" t="e">
        <f t="shared" si="5"/>
        <v>#N/A</v>
      </c>
      <c r="S35" s="52">
        <f>R25</f>
        <v>3.206765294117615</v>
      </c>
      <c r="T35" s="55">
        <f>IF(S35="#N/A",NA(),AVERAGEIF(R35:S35,"&lt;&gt;#N/A"))</f>
        <v>3.206765294117615</v>
      </c>
      <c r="U35" s="24"/>
      <c r="V35" s="42">
        <f t="shared" si="18"/>
        <v>3.0725735342090643</v>
      </c>
      <c r="W35" s="42">
        <f>(T35-V35)^2</f>
        <v>1.8007428427354116E-2</v>
      </c>
      <c r="Y35" s="42">
        <v>2.71</v>
      </c>
      <c r="Z35" s="42">
        <f>(T35-Y35)^2</f>
        <v>0.2467757574397606</v>
      </c>
    </row>
    <row r="36" spans="1:26" x14ac:dyDescent="0.35">
      <c r="A36" s="22">
        <v>2</v>
      </c>
      <c r="B36" s="26"/>
      <c r="C36" s="22">
        <v>2</v>
      </c>
      <c r="D36" s="22">
        <v>6</v>
      </c>
      <c r="E36" s="47">
        <f t="shared" si="0"/>
        <v>4</v>
      </c>
      <c r="F36" s="38">
        <f t="shared" ref="F36:F42" si="19">F16</f>
        <v>131.88</v>
      </c>
      <c r="G36" s="38"/>
      <c r="H36" s="38"/>
      <c r="I36" s="34">
        <f t="shared" ref="I36:I42" si="20">H36-F36</f>
        <v>-131.88</v>
      </c>
      <c r="J36" s="70">
        <f t="shared" si="2"/>
        <v>0</v>
      </c>
      <c r="K36" s="38">
        <f t="shared" ref="K36:K42" si="21">K6</f>
        <v>113.29</v>
      </c>
      <c r="L36" s="38"/>
      <c r="M36" s="34">
        <f t="shared" ref="M36:M42" si="22">L36-K36</f>
        <v>-113.29</v>
      </c>
      <c r="N36" s="59"/>
      <c r="O36" s="40"/>
      <c r="P36" s="36">
        <f t="shared" si="4"/>
        <v>0</v>
      </c>
      <c r="Q36" s="36">
        <f t="shared" si="6"/>
        <v>0.1</v>
      </c>
      <c r="R36" s="52" t="e">
        <f t="shared" si="5"/>
        <v>#N/A</v>
      </c>
      <c r="S36" s="52">
        <f t="shared" ref="S36:S42" si="23">R26</f>
        <v>1.9614024585782912</v>
      </c>
      <c r="T36" s="55">
        <f t="shared" ref="T36:T42" si="24">IF(S36="#N/A",NA(),AVERAGEIF(R36:S36,"&lt;&gt;#N/A"))</f>
        <v>1.9614024585782912</v>
      </c>
      <c r="U36" s="24"/>
      <c r="V36" s="42">
        <f t="shared" si="18"/>
        <v>1.977010861956263</v>
      </c>
      <c r="W36" s="42">
        <f>(T36-V36)^2</f>
        <v>2.436222560094802E-4</v>
      </c>
      <c r="Y36" s="42">
        <v>1.95</v>
      </c>
      <c r="Z36" s="42">
        <f t="shared" ref="Z36:Z41" si="25">(T36-Y36)^2</f>
        <v>1.3001606162964778E-4</v>
      </c>
    </row>
    <row r="37" spans="1:26" x14ac:dyDescent="0.35">
      <c r="A37" s="22">
        <v>3</v>
      </c>
      <c r="B37" s="26"/>
      <c r="C37" s="22">
        <v>6</v>
      </c>
      <c r="D37" s="22">
        <v>10</v>
      </c>
      <c r="E37" s="47">
        <f t="shared" si="0"/>
        <v>8</v>
      </c>
      <c r="F37" s="38">
        <f t="shared" si="19"/>
        <v>130.72</v>
      </c>
      <c r="G37" s="38"/>
      <c r="H37" s="38"/>
      <c r="I37" s="34">
        <f t="shared" si="20"/>
        <v>-130.72</v>
      </c>
      <c r="J37" s="70">
        <f t="shared" si="2"/>
        <v>0</v>
      </c>
      <c r="K37" s="38">
        <f t="shared" si="21"/>
        <v>113.85</v>
      </c>
      <c r="L37" s="38"/>
      <c r="M37" s="34">
        <f t="shared" si="22"/>
        <v>-113.85</v>
      </c>
      <c r="N37" s="58"/>
      <c r="O37" s="40"/>
      <c r="P37" s="36">
        <f t="shared" si="4"/>
        <v>0</v>
      </c>
      <c r="Q37" s="36">
        <f t="shared" si="6"/>
        <v>0.1</v>
      </c>
      <c r="R37" s="52" t="e">
        <f t="shared" si="5"/>
        <v>#N/A</v>
      </c>
      <c r="S37" s="52">
        <f t="shared" si="23"/>
        <v>0.9409486703772475</v>
      </c>
      <c r="T37" s="55">
        <f t="shared" si="24"/>
        <v>0.9409486703772475</v>
      </c>
      <c r="U37" s="24"/>
      <c r="V37" s="42">
        <f t="shared" si="18"/>
        <v>0.89021057070007981</v>
      </c>
      <c r="W37" s="42">
        <f t="shared" ref="W37:W41" si="26">(T37-V37)^2</f>
        <v>2.5743547588502041E-3</v>
      </c>
      <c r="Y37" s="42">
        <v>1.03</v>
      </c>
      <c r="Z37" s="42">
        <f t="shared" si="25"/>
        <v>7.9301393075801221E-3</v>
      </c>
    </row>
    <row r="38" spans="1:26" x14ac:dyDescent="0.35">
      <c r="A38" s="22">
        <v>4</v>
      </c>
      <c r="B38" s="26"/>
      <c r="C38" s="22">
        <v>10</v>
      </c>
      <c r="D38" s="22">
        <v>14</v>
      </c>
      <c r="E38" s="47">
        <f t="shared" si="0"/>
        <v>12</v>
      </c>
      <c r="F38" s="38">
        <f t="shared" si="19"/>
        <v>128.25</v>
      </c>
      <c r="G38" s="38"/>
      <c r="H38" s="38"/>
      <c r="I38" s="34">
        <f t="shared" si="20"/>
        <v>-128.25</v>
      </c>
      <c r="J38" s="70">
        <f t="shared" si="2"/>
        <v>0</v>
      </c>
      <c r="K38" s="38">
        <f t="shared" si="21"/>
        <v>115.66</v>
      </c>
      <c r="L38" s="38"/>
      <c r="M38" s="34">
        <f t="shared" si="22"/>
        <v>-115.66</v>
      </c>
      <c r="N38" s="58"/>
      <c r="O38" s="40"/>
      <c r="P38" s="36">
        <f t="shared" si="4"/>
        <v>0</v>
      </c>
      <c r="Q38" s="36">
        <f t="shared" si="6"/>
        <v>0.1</v>
      </c>
      <c r="R38" s="52" t="e">
        <f t="shared" si="5"/>
        <v>#N/A</v>
      </c>
      <c r="S38" s="52">
        <f t="shared" si="23"/>
        <v>0.27744330752212287</v>
      </c>
      <c r="T38" s="55">
        <f t="shared" si="24"/>
        <v>0.27744330752212287</v>
      </c>
      <c r="U38" s="24"/>
      <c r="V38" s="42">
        <f t="shared" si="18"/>
        <v>0.30866412178462621</v>
      </c>
      <c r="W38" s="42">
        <f t="shared" si="26"/>
        <v>9.7473924321373189E-4</v>
      </c>
      <c r="Y38" s="42">
        <v>0.3</v>
      </c>
      <c r="Z38" s="42">
        <f t="shared" si="25"/>
        <v>5.0880437554151809E-4</v>
      </c>
    </row>
    <row r="39" spans="1:26" x14ac:dyDescent="0.35">
      <c r="A39" s="22">
        <v>5</v>
      </c>
      <c r="B39" s="26"/>
      <c r="C39" s="22">
        <v>14</v>
      </c>
      <c r="D39" s="22">
        <v>18</v>
      </c>
      <c r="E39" s="47">
        <f t="shared" si="0"/>
        <v>16</v>
      </c>
      <c r="F39" s="38">
        <f t="shared" si="19"/>
        <v>129.37</v>
      </c>
      <c r="G39" s="38"/>
      <c r="H39" s="38"/>
      <c r="I39" s="34">
        <f t="shared" si="20"/>
        <v>-129.37</v>
      </c>
      <c r="J39" s="70">
        <f t="shared" si="2"/>
        <v>0</v>
      </c>
      <c r="K39" s="38">
        <f t="shared" si="21"/>
        <v>114.92</v>
      </c>
      <c r="L39" s="38"/>
      <c r="M39" s="34">
        <f t="shared" si="22"/>
        <v>-114.92</v>
      </c>
      <c r="N39" s="58"/>
      <c r="O39" s="40"/>
      <c r="P39" s="36">
        <f t="shared" si="4"/>
        <v>0</v>
      </c>
      <c r="Q39" s="36">
        <f t="shared" si="6"/>
        <v>0.1</v>
      </c>
      <c r="R39" s="52" t="e">
        <f t="shared" si="5"/>
        <v>#N/A</v>
      </c>
      <c r="S39" s="52">
        <f t="shared" si="23"/>
        <v>2.6689034369885446E-2</v>
      </c>
      <c r="T39" s="55">
        <f t="shared" si="24"/>
        <v>2.6689034369885446E-2</v>
      </c>
      <c r="U39" s="24"/>
      <c r="V39" s="42">
        <f t="shared" si="18"/>
        <v>8.1077799216474844E-2</v>
      </c>
      <c r="W39" s="42">
        <f t="shared" si="26"/>
        <v>2.9581377415375991E-3</v>
      </c>
      <c r="Y39" s="42">
        <v>0</v>
      </c>
      <c r="Z39" s="42">
        <f t="shared" si="25"/>
        <v>7.1230455559692662E-4</v>
      </c>
    </row>
    <row r="40" spans="1:26" x14ac:dyDescent="0.35">
      <c r="A40" s="22">
        <v>6</v>
      </c>
      <c r="B40" s="26"/>
      <c r="C40" s="22">
        <v>18</v>
      </c>
      <c r="D40" s="22">
        <v>22</v>
      </c>
      <c r="E40" s="47">
        <f t="shared" si="0"/>
        <v>20</v>
      </c>
      <c r="F40" s="38">
        <f t="shared" si="19"/>
        <v>116.36</v>
      </c>
      <c r="G40" s="38"/>
      <c r="H40" s="38"/>
      <c r="I40" s="34">
        <f t="shared" si="20"/>
        <v>-116.36</v>
      </c>
      <c r="J40" s="70">
        <f t="shared" si="2"/>
        <v>0</v>
      </c>
      <c r="K40" s="38">
        <f t="shared" si="21"/>
        <v>113.58</v>
      </c>
      <c r="L40" s="38"/>
      <c r="M40" s="34">
        <f t="shared" si="22"/>
        <v>-113.58</v>
      </c>
      <c r="N40" s="58"/>
      <c r="O40" s="40"/>
      <c r="P40" s="36">
        <f t="shared" si="4"/>
        <v>0</v>
      </c>
      <c r="Q40" s="36">
        <f t="shared" si="6"/>
        <v>0.1</v>
      </c>
      <c r="R40" s="52" t="e">
        <f t="shared" si="5"/>
        <v>#N/A</v>
      </c>
      <c r="S40" s="52">
        <f t="shared" si="23"/>
        <v>-3.662190082644636E-3</v>
      </c>
      <c r="T40" s="55">
        <f t="shared" si="24"/>
        <v>-3.662190082644636E-3</v>
      </c>
      <c r="U40" s="24"/>
      <c r="V40" s="42">
        <f t="shared" si="18"/>
        <v>1.5955252984994228E-2</v>
      </c>
      <c r="W40" s="42">
        <f t="shared" si="26"/>
        <v>3.8484407251205215E-4</v>
      </c>
      <c r="Y40" s="42">
        <v>0</v>
      </c>
      <c r="Z40" s="42">
        <f t="shared" si="25"/>
        <v>1.3411636201420725E-5</v>
      </c>
    </row>
    <row r="41" spans="1:26" x14ac:dyDescent="0.35">
      <c r="A41" s="22">
        <v>7</v>
      </c>
      <c r="B41" s="26"/>
      <c r="C41" s="22">
        <v>22</v>
      </c>
      <c r="D41" s="22">
        <v>26</v>
      </c>
      <c r="E41" s="47">
        <f t="shared" si="0"/>
        <v>24</v>
      </c>
      <c r="F41" s="38">
        <f t="shared" si="19"/>
        <v>130.97</v>
      </c>
      <c r="G41" s="38"/>
      <c r="H41" s="38"/>
      <c r="I41" s="34">
        <f t="shared" si="20"/>
        <v>-130.97</v>
      </c>
      <c r="J41" s="70">
        <f t="shared" si="2"/>
        <v>0</v>
      </c>
      <c r="K41" s="38">
        <f t="shared" si="21"/>
        <v>112.46</v>
      </c>
      <c r="L41" s="38"/>
      <c r="M41" s="34">
        <f t="shared" si="22"/>
        <v>-112.46</v>
      </c>
      <c r="N41" s="58"/>
      <c r="O41" s="40"/>
      <c r="P41" s="36">
        <f t="shared" si="4"/>
        <v>0</v>
      </c>
      <c r="Q41" s="36">
        <f t="shared" si="6"/>
        <v>0.1</v>
      </c>
      <c r="R41" s="52" t="e">
        <f t="shared" si="5"/>
        <v>#N/A</v>
      </c>
      <c r="S41" s="52">
        <f t="shared" si="23"/>
        <v>2.562650602409661E-2</v>
      </c>
      <c r="T41" s="55">
        <f t="shared" si="24"/>
        <v>2.562650602409661E-2</v>
      </c>
      <c r="U41" s="24"/>
      <c r="V41" s="42">
        <f t="shared" si="18"/>
        <v>2.3342475547130093E-3</v>
      </c>
      <c r="W41" s="42">
        <f t="shared" si="26"/>
        <v>5.4252930460457207E-4</v>
      </c>
      <c r="Y41" s="42">
        <v>0</v>
      </c>
      <c r="Z41" s="42">
        <f t="shared" si="25"/>
        <v>6.5671781100305987E-4</v>
      </c>
    </row>
    <row r="42" spans="1:26" x14ac:dyDescent="0.35">
      <c r="A42" s="22">
        <v>8</v>
      </c>
      <c r="B42" s="26"/>
      <c r="C42" s="22">
        <v>26</v>
      </c>
      <c r="D42" s="22">
        <v>30</v>
      </c>
      <c r="E42" s="47">
        <f t="shared" si="0"/>
        <v>28</v>
      </c>
      <c r="F42" s="38">
        <f t="shared" si="19"/>
        <v>125.85</v>
      </c>
      <c r="G42" s="38"/>
      <c r="H42" s="38"/>
      <c r="I42" s="34">
        <f t="shared" si="20"/>
        <v>-125.85</v>
      </c>
      <c r="J42" s="70">
        <f t="shared" si="2"/>
        <v>0</v>
      </c>
      <c r="K42" s="38">
        <f t="shared" si="21"/>
        <v>113.53</v>
      </c>
      <c r="L42" s="38"/>
      <c r="M42" s="34">
        <f t="shared" si="22"/>
        <v>-113.53</v>
      </c>
      <c r="N42" s="58"/>
      <c r="O42" s="40"/>
      <c r="P42" s="36">
        <f t="shared" si="4"/>
        <v>0</v>
      </c>
      <c r="Q42" s="36">
        <f t="shared" si="6"/>
        <v>0.1</v>
      </c>
      <c r="R42" s="52" t="e">
        <f t="shared" si="5"/>
        <v>#N/A</v>
      </c>
      <c r="S42" s="52" t="e">
        <f t="shared" si="23"/>
        <v>#N/A</v>
      </c>
      <c r="T42" s="55" t="e">
        <f t="shared" si="24"/>
        <v>#N/A</v>
      </c>
      <c r="U42" s="24"/>
      <c r="V42" s="42">
        <f t="shared" si="18"/>
        <v>2.5250642217944375E-4</v>
      </c>
      <c r="W42" s="42" t="e">
        <f>(T42-V42)^2</f>
        <v>#N/A</v>
      </c>
      <c r="Y42" s="42">
        <v>0</v>
      </c>
      <c r="Z42" s="42" t="e">
        <f>(T42-Y42)^2</f>
        <v>#N/A</v>
      </c>
    </row>
    <row r="43" spans="1:26" ht="15.5" x14ac:dyDescent="0.35">
      <c r="E43" s="49"/>
      <c r="F43" s="37"/>
      <c r="G43" s="37"/>
      <c r="H43" s="37"/>
      <c r="I43" s="37"/>
      <c r="J43" s="71"/>
      <c r="K43" s="37"/>
      <c r="L43" s="37"/>
      <c r="M43" s="37"/>
      <c r="N43" s="60"/>
      <c r="O43" s="44"/>
      <c r="P43" s="44"/>
      <c r="Q43"/>
      <c r="R43"/>
      <c r="S43"/>
      <c r="T43" s="57"/>
      <c r="V43" s="21"/>
      <c r="W43" s="42">
        <f>SUM(W36:W41)</f>
        <v>7.6782273767276397E-3</v>
      </c>
      <c r="Y43" s="21"/>
      <c r="Z43" s="42">
        <f>SUM(Z36:Z41)</f>
        <v>9.9513937475526944E-3</v>
      </c>
    </row>
    <row r="44" spans="1:26" ht="15.5" x14ac:dyDescent="0.35">
      <c r="A44" s="81" t="s">
        <v>90</v>
      </c>
      <c r="E44" s="49"/>
      <c r="F44" s="37"/>
      <c r="G44" s="37"/>
      <c r="H44" s="37"/>
      <c r="I44" s="37"/>
      <c r="J44" s="71"/>
      <c r="K44" s="37"/>
      <c r="L44" s="37"/>
      <c r="M44" s="37"/>
      <c r="N44" s="61"/>
      <c r="O44" s="44"/>
      <c r="P44" s="44"/>
      <c r="Q44"/>
      <c r="R44"/>
      <c r="S44"/>
      <c r="T44" s="57"/>
    </row>
    <row r="45" spans="1:26" x14ac:dyDescent="0.35">
      <c r="A45" s="22">
        <v>1</v>
      </c>
      <c r="B45" s="26">
        <v>45250</v>
      </c>
      <c r="C45" s="22">
        <v>0</v>
      </c>
      <c r="D45" s="22">
        <v>2</v>
      </c>
      <c r="E45" s="47">
        <f>AVERAGE(C45:D45)</f>
        <v>1</v>
      </c>
      <c r="F45" s="38">
        <f>F5</f>
        <v>109.91</v>
      </c>
      <c r="G45" s="38">
        <v>110.72499999999999</v>
      </c>
      <c r="H45" s="38">
        <v>110.58199999999999</v>
      </c>
      <c r="I45" s="34">
        <f>H45-F45</f>
        <v>0.67199999999999704</v>
      </c>
      <c r="J45" s="70">
        <f t="shared" si="2"/>
        <v>17.546012269938782</v>
      </c>
      <c r="K45" s="38">
        <f>K5</f>
        <v>111.08</v>
      </c>
      <c r="L45" s="38">
        <v>264.93900000000002</v>
      </c>
      <c r="M45" s="34">
        <f>L45-K45</f>
        <v>153.85900000000004</v>
      </c>
      <c r="N45" s="59">
        <v>6.3529999999999998</v>
      </c>
      <c r="O45" s="40">
        <v>94.1</v>
      </c>
      <c r="P45" s="36">
        <f t="shared" si="4"/>
        <v>0.63530000000000009</v>
      </c>
      <c r="Q45" s="36">
        <v>0</v>
      </c>
      <c r="R45" s="52">
        <f t="shared" si="5"/>
        <v>3.3513965773809677</v>
      </c>
      <c r="S45" s="52"/>
      <c r="T45" s="55"/>
      <c r="U45" s="24"/>
    </row>
    <row r="46" spans="1:26" x14ac:dyDescent="0.35">
      <c r="A46" s="29">
        <v>2</v>
      </c>
      <c r="B46" s="26">
        <v>45250</v>
      </c>
      <c r="C46" s="22">
        <v>2</v>
      </c>
      <c r="D46" s="22">
        <v>6</v>
      </c>
      <c r="E46" s="50">
        <f t="shared" si="0"/>
        <v>4</v>
      </c>
      <c r="F46" s="38">
        <f t="shared" ref="F46:F52" si="27">F6</f>
        <v>113.20699999999999</v>
      </c>
      <c r="G46" s="39">
        <v>115.215</v>
      </c>
      <c r="H46" s="39">
        <v>114.85599999999999</v>
      </c>
      <c r="I46" s="35">
        <f t="shared" ref="I46:I52" si="28">H46-F46</f>
        <v>1.6490000000000009</v>
      </c>
      <c r="J46" s="70">
        <f t="shared" si="2"/>
        <v>17.878486055777248</v>
      </c>
      <c r="K46" s="38">
        <f t="shared" ref="K46:K52" si="29">K6</f>
        <v>113.29</v>
      </c>
      <c r="L46" s="39">
        <v>263.51600000000002</v>
      </c>
      <c r="M46" s="35">
        <f t="shared" ref="M46:M52" si="30">L46-K46</f>
        <v>150.226</v>
      </c>
      <c r="N46" s="59">
        <v>9.7089999999999996</v>
      </c>
      <c r="O46" s="41">
        <v>102.5</v>
      </c>
      <c r="P46" s="36">
        <f t="shared" si="4"/>
        <v>0.97089999999999987</v>
      </c>
      <c r="Q46" s="36">
        <v>0</v>
      </c>
      <c r="R46" s="52">
        <f t="shared" si="5"/>
        <v>2.0872289266221942</v>
      </c>
      <c r="S46" s="52"/>
      <c r="T46" s="55"/>
      <c r="U46" s="24"/>
    </row>
    <row r="47" spans="1:26" s="28" customFormat="1" x14ac:dyDescent="0.35">
      <c r="A47" s="29">
        <v>3</v>
      </c>
      <c r="B47" s="26">
        <v>45250</v>
      </c>
      <c r="C47" s="22">
        <v>6</v>
      </c>
      <c r="D47" s="22">
        <v>10</v>
      </c>
      <c r="E47" s="50">
        <f t="shared" si="0"/>
        <v>8</v>
      </c>
      <c r="F47" s="38">
        <f t="shared" si="27"/>
        <v>111.30500000000001</v>
      </c>
      <c r="G47" s="39">
        <v>113.932</v>
      </c>
      <c r="H47" s="39">
        <v>113.43300000000001</v>
      </c>
      <c r="I47" s="35">
        <f t="shared" si="28"/>
        <v>2.1280000000000001</v>
      </c>
      <c r="J47" s="70">
        <f t="shared" si="2"/>
        <v>18.995051389417437</v>
      </c>
      <c r="K47" s="38">
        <f t="shared" si="29"/>
        <v>113.85</v>
      </c>
      <c r="L47" s="39">
        <v>263.33699999999999</v>
      </c>
      <c r="M47" s="35">
        <f t="shared" si="30"/>
        <v>149.48699999999999</v>
      </c>
      <c r="N47" s="59">
        <v>5.6870000000000003</v>
      </c>
      <c r="O47" s="41">
        <v>105.9</v>
      </c>
      <c r="P47" s="36">
        <f t="shared" si="4"/>
        <v>0.56869999999999998</v>
      </c>
      <c r="Q47" s="36">
        <v>0</v>
      </c>
      <c r="R47" s="52">
        <f t="shared" si="5"/>
        <v>0.94738792293233076</v>
      </c>
      <c r="S47" s="52"/>
      <c r="T47" s="55"/>
    </row>
    <row r="48" spans="1:26" x14ac:dyDescent="0.35">
      <c r="A48" s="29">
        <v>4</v>
      </c>
      <c r="B48" s="26">
        <v>45250</v>
      </c>
      <c r="C48" s="22">
        <v>10</v>
      </c>
      <c r="D48" s="22">
        <v>14</v>
      </c>
      <c r="E48" s="50">
        <f t="shared" si="0"/>
        <v>12</v>
      </c>
      <c r="F48" s="38">
        <f t="shared" si="27"/>
        <v>113.82599999999999</v>
      </c>
      <c r="G48" s="39">
        <v>115.67400000000001</v>
      </c>
      <c r="H48" s="39">
        <v>115.324</v>
      </c>
      <c r="I48" s="35">
        <f t="shared" si="28"/>
        <v>1.4980000000000047</v>
      </c>
      <c r="J48" s="70">
        <f t="shared" si="2"/>
        <v>18.939393939394265</v>
      </c>
      <c r="K48" s="38">
        <f t="shared" si="29"/>
        <v>115.66</v>
      </c>
      <c r="L48" s="39">
        <v>266.34899999999999</v>
      </c>
      <c r="M48" s="35">
        <f t="shared" si="30"/>
        <v>150.68899999999999</v>
      </c>
      <c r="N48" s="59">
        <v>0.68799999999999994</v>
      </c>
      <c r="O48" s="41">
        <v>83.7</v>
      </c>
      <c r="P48" s="36">
        <f t="shared" si="4"/>
        <v>6.8799999999999986E-2</v>
      </c>
      <c r="Q48" s="36">
        <v>0</v>
      </c>
      <c r="R48" s="52">
        <f t="shared" si="5"/>
        <v>0.16281441922563367</v>
      </c>
      <c r="S48" s="52"/>
      <c r="T48" s="55"/>
      <c r="U48" s="24"/>
      <c r="V48" s="20" t="s">
        <v>53</v>
      </c>
    </row>
    <row r="49" spans="1:23" x14ac:dyDescent="0.35">
      <c r="A49" s="29">
        <v>5</v>
      </c>
      <c r="B49" s="26">
        <v>45250</v>
      </c>
      <c r="C49" s="22">
        <v>14</v>
      </c>
      <c r="D49" s="22">
        <v>18</v>
      </c>
      <c r="E49" s="50">
        <f t="shared" si="0"/>
        <v>16</v>
      </c>
      <c r="F49" s="38">
        <f t="shared" si="27"/>
        <v>114.417</v>
      </c>
      <c r="G49" s="39">
        <v>116.438</v>
      </c>
      <c r="H49" s="39">
        <v>116.06399999999999</v>
      </c>
      <c r="I49" s="35">
        <f t="shared" si="28"/>
        <v>1.6469999999999914</v>
      </c>
      <c r="J49" s="70">
        <f t="shared" si="2"/>
        <v>18.505690252350782</v>
      </c>
      <c r="K49" s="38">
        <f t="shared" si="29"/>
        <v>114.92</v>
      </c>
      <c r="L49" s="39">
        <v>258.58300000000003</v>
      </c>
      <c r="M49" s="35">
        <f t="shared" si="30"/>
        <v>143.66300000000001</v>
      </c>
      <c r="N49" s="59">
        <v>1.1739999999999999</v>
      </c>
      <c r="O49" s="41">
        <v>67.3</v>
      </c>
      <c r="P49" s="36">
        <f t="shared" si="4"/>
        <v>0.11739999999999999</v>
      </c>
      <c r="Q49" s="36">
        <f t="shared" si="6"/>
        <v>0.1</v>
      </c>
      <c r="R49" s="52">
        <f t="shared" si="5"/>
        <v>3.7451730418943702E-2</v>
      </c>
      <c r="S49" s="52"/>
      <c r="T49" s="55"/>
      <c r="U49" s="24"/>
      <c r="V49" s="21" t="s">
        <v>44</v>
      </c>
      <c r="W49" s="43">
        <v>3.8820577544957402</v>
      </c>
    </row>
    <row r="50" spans="1:23" s="28" customFormat="1" x14ac:dyDescent="0.35">
      <c r="A50" s="29">
        <v>6</v>
      </c>
      <c r="B50" s="26">
        <v>45250</v>
      </c>
      <c r="C50" s="22">
        <v>18</v>
      </c>
      <c r="D50" s="22">
        <v>22</v>
      </c>
      <c r="E50" s="50">
        <f t="shared" si="0"/>
        <v>20</v>
      </c>
      <c r="F50" s="38">
        <f t="shared" si="27"/>
        <v>113.3</v>
      </c>
      <c r="G50" s="39">
        <v>115.163</v>
      </c>
      <c r="H50" s="39">
        <v>114.774</v>
      </c>
      <c r="I50" s="35">
        <f t="shared" si="28"/>
        <v>1.4740000000000038</v>
      </c>
      <c r="J50" s="70">
        <f t="shared" si="2"/>
        <v>20.880300590445298</v>
      </c>
      <c r="K50" s="38">
        <f t="shared" si="29"/>
        <v>113.58</v>
      </c>
      <c r="L50" s="39">
        <v>263.572</v>
      </c>
      <c r="M50" s="35">
        <f t="shared" si="30"/>
        <v>149.99200000000002</v>
      </c>
      <c r="N50" s="59">
        <v>1.18</v>
      </c>
      <c r="O50" s="41">
        <v>67.3</v>
      </c>
      <c r="P50" s="36">
        <f t="shared" si="4"/>
        <v>0.11799999999999999</v>
      </c>
      <c r="Q50" s="36">
        <f t="shared" si="6"/>
        <v>0.1</v>
      </c>
      <c r="R50" s="52">
        <f t="shared" si="5"/>
        <v>4.3290366350067708E-2</v>
      </c>
      <c r="S50" s="52"/>
      <c r="T50" s="55"/>
      <c r="V50" s="21" t="s">
        <v>45</v>
      </c>
      <c r="W50" s="21">
        <v>0</v>
      </c>
    </row>
    <row r="51" spans="1:23" x14ac:dyDescent="0.35">
      <c r="A51" s="29">
        <v>7</v>
      </c>
      <c r="B51" s="26">
        <v>45250</v>
      </c>
      <c r="C51" s="22">
        <v>22</v>
      </c>
      <c r="D51" s="22">
        <v>26</v>
      </c>
      <c r="E51" s="50">
        <f t="shared" si="0"/>
        <v>24</v>
      </c>
      <c r="F51" s="38">
        <f t="shared" si="27"/>
        <v>113.117</v>
      </c>
      <c r="G51" s="39">
        <v>115.527</v>
      </c>
      <c r="H51" s="39">
        <v>115.08499999999999</v>
      </c>
      <c r="I51" s="35">
        <f t="shared" si="28"/>
        <v>1.9679999999999893</v>
      </c>
      <c r="J51" s="70">
        <f t="shared" si="2"/>
        <v>18.340248962655931</v>
      </c>
      <c r="K51" s="38">
        <f t="shared" si="29"/>
        <v>112.46</v>
      </c>
      <c r="L51" s="39">
        <v>266.58800000000002</v>
      </c>
      <c r="M51" s="35">
        <f t="shared" si="30"/>
        <v>154.12800000000004</v>
      </c>
      <c r="N51" s="59">
        <v>1.0309999999999999</v>
      </c>
      <c r="O51" s="41">
        <v>104.5</v>
      </c>
      <c r="P51" s="36">
        <f t="shared" si="4"/>
        <v>0.10310000000000001</v>
      </c>
      <c r="Q51" s="36">
        <f t="shared" si="6"/>
        <v>0.1</v>
      </c>
      <c r="R51" s="52">
        <f t="shared" si="5"/>
        <v>5.5840955284553254E-3</v>
      </c>
      <c r="S51" s="52"/>
      <c r="T51" s="55"/>
      <c r="U51" s="24"/>
      <c r="V51" s="27" t="s">
        <v>47</v>
      </c>
      <c r="W51" s="64">
        <v>4.3096416984821877</v>
      </c>
    </row>
    <row r="52" spans="1:23" x14ac:dyDescent="0.35">
      <c r="A52" s="22">
        <v>8</v>
      </c>
      <c r="B52" s="26">
        <v>45250</v>
      </c>
      <c r="C52" s="22">
        <v>26</v>
      </c>
      <c r="D52" s="22">
        <v>30</v>
      </c>
      <c r="E52" s="47">
        <f t="shared" si="0"/>
        <v>28</v>
      </c>
      <c r="F52" s="38">
        <f t="shared" si="27"/>
        <v>112.947</v>
      </c>
      <c r="G52" s="38"/>
      <c r="H52" s="38"/>
      <c r="I52" s="34">
        <f t="shared" si="28"/>
        <v>-112.947</v>
      </c>
      <c r="J52" s="70">
        <f t="shared" si="2"/>
        <v>0</v>
      </c>
      <c r="K52" s="38">
        <f t="shared" si="29"/>
        <v>113.53</v>
      </c>
      <c r="L52" s="38"/>
      <c r="M52" s="34">
        <f t="shared" si="30"/>
        <v>-113.53</v>
      </c>
      <c r="N52" s="58"/>
      <c r="O52" s="40"/>
      <c r="P52" s="36">
        <f t="shared" si="4"/>
        <v>0</v>
      </c>
      <c r="Q52" s="36">
        <f t="shared" si="6"/>
        <v>0.1</v>
      </c>
      <c r="R52" s="52" t="e">
        <f t="shared" si="5"/>
        <v>#N/A</v>
      </c>
      <c r="S52" s="52"/>
      <c r="T52" s="55"/>
      <c r="U52" s="24"/>
      <c r="V52" s="21" t="s">
        <v>46</v>
      </c>
      <c r="W52" s="21">
        <f>58*24*60*60</f>
        <v>5011200</v>
      </c>
    </row>
    <row r="53" spans="1:23" ht="15.5" x14ac:dyDescent="0.35">
      <c r="E53" s="49"/>
      <c r="F53" s="37"/>
      <c r="G53" s="37"/>
      <c r="H53" s="37"/>
      <c r="I53" s="37"/>
      <c r="J53" s="71"/>
      <c r="K53" s="37"/>
      <c r="L53" s="37"/>
      <c r="M53" s="37"/>
      <c r="N53" s="60"/>
      <c r="O53" s="44"/>
      <c r="P53" s="44"/>
      <c r="Q53"/>
      <c r="R53"/>
      <c r="S53"/>
      <c r="T53" s="57"/>
      <c r="V53" s="44"/>
      <c r="W53" s="44"/>
    </row>
    <row r="54" spans="1:23" ht="15.5" x14ac:dyDescent="0.35">
      <c r="A54" s="81" t="s">
        <v>91</v>
      </c>
      <c r="E54" s="49"/>
      <c r="F54" s="37"/>
      <c r="G54" s="37"/>
      <c r="H54" s="37"/>
      <c r="I54" s="37"/>
      <c r="J54" s="71"/>
      <c r="K54" s="37"/>
      <c r="L54" s="37"/>
      <c r="M54" s="37"/>
      <c r="N54" s="61"/>
      <c r="O54" s="44"/>
      <c r="P54" s="44"/>
      <c r="Q54"/>
      <c r="R54"/>
      <c r="S54"/>
      <c r="T54" s="57" t="s">
        <v>62</v>
      </c>
      <c r="V54" s="19" t="s">
        <v>50</v>
      </c>
      <c r="W54" s="19" t="s">
        <v>49</v>
      </c>
    </row>
    <row r="55" spans="1:23" x14ac:dyDescent="0.35">
      <c r="A55" s="22">
        <v>1</v>
      </c>
      <c r="B55" s="26"/>
      <c r="C55" s="22">
        <v>0</v>
      </c>
      <c r="D55" s="22">
        <v>2</v>
      </c>
      <c r="E55" s="47">
        <f t="shared" si="0"/>
        <v>1</v>
      </c>
      <c r="F55" s="38">
        <f>F15</f>
        <v>129.30000000000001</v>
      </c>
      <c r="G55" s="38"/>
      <c r="H55" s="38"/>
      <c r="I55" s="34">
        <f>H55-F55</f>
        <v>-129.30000000000001</v>
      </c>
      <c r="J55" s="70">
        <f t="shared" si="2"/>
        <v>0</v>
      </c>
      <c r="K55" s="38">
        <f>K5</f>
        <v>111.08</v>
      </c>
      <c r="L55" s="38"/>
      <c r="M55" s="34">
        <f>L55-K55</f>
        <v>-111.08</v>
      </c>
      <c r="N55" s="59"/>
      <c r="O55" s="40"/>
      <c r="P55" s="36">
        <f t="shared" si="4"/>
        <v>0</v>
      </c>
      <c r="Q55" s="36">
        <f t="shared" si="6"/>
        <v>0.1</v>
      </c>
      <c r="R55" s="52" t="e">
        <f t="shared" si="5"/>
        <v>#N/A</v>
      </c>
      <c r="S55" s="52">
        <f>R45</f>
        <v>3.3513965773809677</v>
      </c>
      <c r="T55" s="55">
        <f>IF(S55="#N/A",NA(),AVERAGEIF(R55:S55,"&lt;&gt;#N/A"))</f>
        <v>3.3513965773809677</v>
      </c>
      <c r="U55" s="24"/>
      <c r="V55" s="42">
        <f>$W$49-($W$49-$W$50)*ERF((E55/1000)/SQRT(4*$W$51*10^(-12)*$W$52))</f>
        <v>3.4125720228513798</v>
      </c>
      <c r="W55" s="42">
        <f>(T55-V55)^2</f>
        <v>3.7424351285033635E-3</v>
      </c>
    </row>
    <row r="56" spans="1:23" x14ac:dyDescent="0.35">
      <c r="A56" s="22">
        <v>2</v>
      </c>
      <c r="B56" s="26"/>
      <c r="C56" s="22">
        <v>2</v>
      </c>
      <c r="D56" s="22">
        <v>6</v>
      </c>
      <c r="E56" s="47">
        <f t="shared" si="0"/>
        <v>4</v>
      </c>
      <c r="F56" s="38">
        <f t="shared" ref="F56:F62" si="31">F16</f>
        <v>131.88</v>
      </c>
      <c r="G56" s="38"/>
      <c r="H56" s="38"/>
      <c r="I56" s="34">
        <f t="shared" ref="I56:I62" si="32">H56-F56</f>
        <v>-131.88</v>
      </c>
      <c r="J56" s="70">
        <f t="shared" si="2"/>
        <v>0</v>
      </c>
      <c r="K56" s="38">
        <f t="shared" ref="K56:K62" si="33">K6</f>
        <v>113.29</v>
      </c>
      <c r="L56" s="38"/>
      <c r="M56" s="34">
        <f t="shared" ref="M56:M62" si="34">L56-K56</f>
        <v>-113.29</v>
      </c>
      <c r="N56" s="59"/>
      <c r="O56" s="40"/>
      <c r="P56" s="36">
        <f t="shared" si="4"/>
        <v>0</v>
      </c>
      <c r="Q56" s="36">
        <f t="shared" si="6"/>
        <v>0.1</v>
      </c>
      <c r="R56" s="52" t="e">
        <f t="shared" si="5"/>
        <v>#N/A</v>
      </c>
      <c r="S56" s="52">
        <f t="shared" ref="S56:S62" si="35">R46</f>
        <v>2.0872289266221942</v>
      </c>
      <c r="T56" s="55">
        <f t="shared" ref="T56:T62" si="36">IF(S56="#N/A",NA(),AVERAGEIF(R56:S56,"&lt;&gt;#N/A"))</f>
        <v>2.0872289266221942</v>
      </c>
      <c r="U56" s="24"/>
      <c r="V56" s="42">
        <f t="shared" ref="V56:V62" si="37">$W$49-($W$49-$W$50)*ERF((E56/1000)/SQRT(4*$W$51*10^(-12)*$W$52))</f>
        <v>2.107062702998924</v>
      </c>
      <c r="W56" s="42">
        <f>(T56-V56)^2</f>
        <v>3.9337868536212442E-4</v>
      </c>
    </row>
    <row r="57" spans="1:23" s="31" customFormat="1" x14ac:dyDescent="0.35">
      <c r="A57" s="29">
        <v>3</v>
      </c>
      <c r="B57" s="30"/>
      <c r="C57" s="22">
        <v>6</v>
      </c>
      <c r="D57" s="22">
        <v>10</v>
      </c>
      <c r="E57" s="47">
        <f t="shared" si="0"/>
        <v>8</v>
      </c>
      <c r="F57" s="38">
        <f t="shared" si="31"/>
        <v>130.72</v>
      </c>
      <c r="G57" s="39"/>
      <c r="H57" s="39"/>
      <c r="I57" s="35">
        <f t="shared" si="32"/>
        <v>-130.72</v>
      </c>
      <c r="J57" s="70">
        <f t="shared" si="2"/>
        <v>0</v>
      </c>
      <c r="K57" s="38">
        <f t="shared" si="33"/>
        <v>113.85</v>
      </c>
      <c r="L57" s="39"/>
      <c r="M57" s="35">
        <f t="shared" si="34"/>
        <v>-113.85</v>
      </c>
      <c r="N57" s="59"/>
      <c r="O57" s="41"/>
      <c r="P57" s="36">
        <f t="shared" si="4"/>
        <v>0</v>
      </c>
      <c r="Q57" s="36">
        <f t="shared" si="6"/>
        <v>0.1</v>
      </c>
      <c r="R57" s="52" t="e">
        <f t="shared" si="5"/>
        <v>#N/A</v>
      </c>
      <c r="S57" s="52">
        <f t="shared" si="35"/>
        <v>0.94738792293233076</v>
      </c>
      <c r="T57" s="55">
        <f t="shared" si="36"/>
        <v>0.94738792293233076</v>
      </c>
      <c r="V57" s="42">
        <f t="shared" si="37"/>
        <v>0.86765973735702673</v>
      </c>
      <c r="W57" s="42">
        <f t="shared" ref="W57:W62" si="38">(T57-V57)^2</f>
        <v>6.3565835751301179E-3</v>
      </c>
    </row>
    <row r="58" spans="1:23" x14ac:dyDescent="0.35">
      <c r="A58" s="22">
        <v>4</v>
      </c>
      <c r="B58" s="26"/>
      <c r="C58" s="22">
        <v>10</v>
      </c>
      <c r="D58" s="22">
        <v>14</v>
      </c>
      <c r="E58" s="47">
        <f t="shared" si="0"/>
        <v>12</v>
      </c>
      <c r="F58" s="38">
        <f t="shared" si="31"/>
        <v>128.25</v>
      </c>
      <c r="G58" s="38"/>
      <c r="H58" s="38"/>
      <c r="I58" s="34">
        <f t="shared" si="32"/>
        <v>-128.25</v>
      </c>
      <c r="J58" s="70">
        <f t="shared" si="2"/>
        <v>0</v>
      </c>
      <c r="K58" s="38">
        <f t="shared" si="33"/>
        <v>115.66</v>
      </c>
      <c r="L58" s="38"/>
      <c r="M58" s="34">
        <f t="shared" si="34"/>
        <v>-115.66</v>
      </c>
      <c r="N58" s="58"/>
      <c r="O58" s="40"/>
      <c r="P58" s="36">
        <f t="shared" si="4"/>
        <v>0</v>
      </c>
      <c r="Q58" s="36">
        <f t="shared" si="6"/>
        <v>0.1</v>
      </c>
      <c r="R58" s="52" t="e">
        <f t="shared" si="5"/>
        <v>#N/A</v>
      </c>
      <c r="S58" s="52">
        <f t="shared" si="35"/>
        <v>0.16281441922563367</v>
      </c>
      <c r="T58" s="55">
        <f t="shared" si="36"/>
        <v>0.16281441922563367</v>
      </c>
      <c r="U58" s="24"/>
      <c r="V58" s="42">
        <f t="shared" si="37"/>
        <v>0.26346250276959893</v>
      </c>
      <c r="W58" s="42">
        <f t="shared" si="38"/>
        <v>1.0130036721073011E-2</v>
      </c>
    </row>
    <row r="59" spans="1:23" x14ac:dyDescent="0.35">
      <c r="A59" s="22">
        <v>5</v>
      </c>
      <c r="B59" s="26"/>
      <c r="C59" s="22">
        <v>14</v>
      </c>
      <c r="D59" s="22">
        <v>18</v>
      </c>
      <c r="E59" s="47">
        <f t="shared" si="0"/>
        <v>16</v>
      </c>
      <c r="F59" s="38">
        <f t="shared" si="31"/>
        <v>129.37</v>
      </c>
      <c r="G59" s="38"/>
      <c r="H59" s="38"/>
      <c r="I59" s="34">
        <f t="shared" si="32"/>
        <v>-129.37</v>
      </c>
      <c r="J59" s="70">
        <f t="shared" si="2"/>
        <v>0</v>
      </c>
      <c r="K59" s="38">
        <f t="shared" si="33"/>
        <v>114.92</v>
      </c>
      <c r="L59" s="38"/>
      <c r="M59" s="34">
        <f t="shared" si="34"/>
        <v>-114.92</v>
      </c>
      <c r="N59" s="58"/>
      <c r="O59" s="40"/>
      <c r="P59" s="36">
        <f t="shared" si="4"/>
        <v>0</v>
      </c>
      <c r="Q59" s="36">
        <f t="shared" si="6"/>
        <v>0.1</v>
      </c>
      <c r="R59" s="52" t="e">
        <f t="shared" si="5"/>
        <v>#N/A</v>
      </c>
      <c r="S59" s="52">
        <f t="shared" si="35"/>
        <v>3.7451730418943702E-2</v>
      </c>
      <c r="T59" s="55">
        <f t="shared" si="36"/>
        <v>3.7451730418943702E-2</v>
      </c>
      <c r="U59" s="24"/>
      <c r="V59" s="42">
        <f t="shared" si="37"/>
        <v>5.7887352320439955E-2</v>
      </c>
      <c r="W59" s="42">
        <f t="shared" si="38"/>
        <v>4.1761464250091338E-4</v>
      </c>
    </row>
    <row r="60" spans="1:23" s="31" customFormat="1" x14ac:dyDescent="0.35">
      <c r="A60" s="29">
        <v>6</v>
      </c>
      <c r="B60" s="30"/>
      <c r="C60" s="22">
        <v>18</v>
      </c>
      <c r="D60" s="22">
        <v>22</v>
      </c>
      <c r="E60" s="47">
        <f t="shared" si="0"/>
        <v>20</v>
      </c>
      <c r="F60" s="38">
        <f t="shared" si="31"/>
        <v>116.36</v>
      </c>
      <c r="G60" s="39"/>
      <c r="H60" s="39"/>
      <c r="I60" s="35">
        <f t="shared" si="32"/>
        <v>-116.36</v>
      </c>
      <c r="J60" s="70">
        <f t="shared" si="2"/>
        <v>0</v>
      </c>
      <c r="K60" s="38">
        <f t="shared" si="33"/>
        <v>113.58</v>
      </c>
      <c r="L60" s="39"/>
      <c r="M60" s="35">
        <f t="shared" si="34"/>
        <v>-113.58</v>
      </c>
      <c r="N60" s="59"/>
      <c r="O60" s="41"/>
      <c r="P60" s="36">
        <f t="shared" si="4"/>
        <v>0</v>
      </c>
      <c r="Q60" s="36">
        <f t="shared" si="6"/>
        <v>0.1</v>
      </c>
      <c r="R60" s="52" t="e">
        <f t="shared" si="5"/>
        <v>#N/A</v>
      </c>
      <c r="S60" s="52">
        <f t="shared" si="35"/>
        <v>4.3290366350067708E-2</v>
      </c>
      <c r="T60" s="55">
        <f t="shared" si="36"/>
        <v>4.3290366350067708E-2</v>
      </c>
      <c r="V60" s="42">
        <f t="shared" si="37"/>
        <v>9.0884631934420312E-3</v>
      </c>
      <c r="W60" s="42">
        <f t="shared" si="38"/>
        <v>1.1697701795352015E-3</v>
      </c>
    </row>
    <row r="61" spans="1:23" x14ac:dyDescent="0.35">
      <c r="A61" s="22">
        <v>7</v>
      </c>
      <c r="B61" s="26"/>
      <c r="C61" s="22">
        <v>22</v>
      </c>
      <c r="D61" s="22">
        <v>26</v>
      </c>
      <c r="E61" s="47">
        <f t="shared" si="0"/>
        <v>24</v>
      </c>
      <c r="F61" s="38">
        <f t="shared" si="31"/>
        <v>130.97</v>
      </c>
      <c r="G61" s="38"/>
      <c r="H61" s="38"/>
      <c r="I61" s="34">
        <f t="shared" si="32"/>
        <v>-130.97</v>
      </c>
      <c r="J61" s="70">
        <f t="shared" si="2"/>
        <v>0</v>
      </c>
      <c r="K61" s="38">
        <f t="shared" si="33"/>
        <v>112.46</v>
      </c>
      <c r="L61" s="38"/>
      <c r="M61" s="34">
        <f t="shared" si="34"/>
        <v>-112.46</v>
      </c>
      <c r="N61" s="58"/>
      <c r="O61" s="40"/>
      <c r="P61" s="36">
        <f t="shared" si="4"/>
        <v>0</v>
      </c>
      <c r="Q61" s="36">
        <f t="shared" si="6"/>
        <v>0.1</v>
      </c>
      <c r="R61" s="52" t="e">
        <f t="shared" si="5"/>
        <v>#N/A</v>
      </c>
      <c r="S61" s="52">
        <f t="shared" si="35"/>
        <v>5.5840955284553254E-3</v>
      </c>
      <c r="T61" s="55">
        <f t="shared" si="36"/>
        <v>5.5840955284553254E-3</v>
      </c>
      <c r="U61" s="24"/>
      <c r="V61" s="42">
        <f t="shared" si="37"/>
        <v>1.010993988133535E-3</v>
      </c>
      <c r="W61" s="42">
        <f t="shared" si="38"/>
        <v>2.0913257698093531E-5</v>
      </c>
    </row>
    <row r="62" spans="1:23" x14ac:dyDescent="0.35">
      <c r="A62" s="22">
        <v>8</v>
      </c>
      <c r="B62" s="26"/>
      <c r="C62" s="22">
        <v>26</v>
      </c>
      <c r="D62" s="22">
        <v>30</v>
      </c>
      <c r="E62" s="47">
        <f t="shared" si="0"/>
        <v>28</v>
      </c>
      <c r="F62" s="38">
        <f t="shared" si="31"/>
        <v>125.85</v>
      </c>
      <c r="G62" s="38"/>
      <c r="H62" s="38"/>
      <c r="I62" s="34">
        <f t="shared" si="32"/>
        <v>-125.85</v>
      </c>
      <c r="J62" s="70">
        <f t="shared" si="2"/>
        <v>0</v>
      </c>
      <c r="K62" s="38">
        <f t="shared" si="33"/>
        <v>113.53</v>
      </c>
      <c r="L62" s="38"/>
      <c r="M62" s="34">
        <f t="shared" si="34"/>
        <v>-113.53</v>
      </c>
      <c r="N62" s="58"/>
      <c r="O62" s="40"/>
      <c r="P62" s="36">
        <f t="shared" si="4"/>
        <v>0</v>
      </c>
      <c r="Q62" s="36">
        <f t="shared" si="6"/>
        <v>0.1</v>
      </c>
      <c r="R62" s="52" t="e">
        <f t="shared" si="5"/>
        <v>#N/A</v>
      </c>
      <c r="S62" s="52" t="e">
        <f t="shared" si="35"/>
        <v>#N/A</v>
      </c>
      <c r="T62" s="55" t="e">
        <f t="shared" si="36"/>
        <v>#N/A</v>
      </c>
      <c r="U62" s="24"/>
      <c r="V62" s="42">
        <f t="shared" si="37"/>
        <v>7.9213604506023216E-5</v>
      </c>
      <c r="W62" s="42" t="e">
        <f t="shared" si="38"/>
        <v>#N/A</v>
      </c>
    </row>
    <row r="63" spans="1:23" ht="15.5" x14ac:dyDescent="0.35">
      <c r="J63"/>
      <c r="Q63"/>
      <c r="R63"/>
      <c r="S63"/>
      <c r="V63" s="21"/>
      <c r="W63" s="42">
        <f>SUM(W56:W61)</f>
        <v>1.8488297061299463E-2</v>
      </c>
    </row>
    <row r="64" spans="1:23" ht="15.5" x14ac:dyDescent="0.35">
      <c r="J64"/>
      <c r="Q64"/>
      <c r="R64"/>
      <c r="S64"/>
    </row>
    <row r="65" spans="17:19" ht="15.5" x14ac:dyDescent="0.35">
      <c r="Q65"/>
      <c r="R65"/>
      <c r="S65"/>
    </row>
  </sheetData>
  <mergeCells count="19">
    <mergeCell ref="O1:O2"/>
    <mergeCell ref="P1:P2"/>
    <mergeCell ref="Q1:Q2"/>
    <mergeCell ref="R1:R2"/>
    <mergeCell ref="T1:T2"/>
    <mergeCell ref="S1:S2"/>
    <mergeCell ref="N1:N2"/>
    <mergeCell ref="A1:A2"/>
    <mergeCell ref="B1:B2"/>
    <mergeCell ref="C1:D1"/>
    <mergeCell ref="E1:E2"/>
    <mergeCell ref="F1:F2"/>
    <mergeCell ref="G1:G2"/>
    <mergeCell ref="H1:H2"/>
    <mergeCell ref="I1:I2"/>
    <mergeCell ref="K1:K2"/>
    <mergeCell ref="L1:L2"/>
    <mergeCell ref="M1:M2"/>
    <mergeCell ref="J1:J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BFE72-E2DA-414A-85C0-F8618ABD2340}">
  <dimension ref="A1:AC65"/>
  <sheetViews>
    <sheetView zoomScale="70" zoomScaleNormal="70" workbookViewId="0">
      <pane xSplit="1" ySplit="2" topLeftCell="E3" activePane="bottomRight" state="frozen"/>
      <selection activeCell="J5" sqref="J5:J62"/>
      <selection pane="topRight" activeCell="J5" sqref="J5:J62"/>
      <selection pane="bottomLeft" activeCell="J5" sqref="J5:J62"/>
      <selection pane="bottomRight" activeCell="A55" sqref="A55"/>
    </sheetView>
  </sheetViews>
  <sheetFormatPr defaultColWidth="10.58203125" defaultRowHeight="15.5" x14ac:dyDescent="0.35"/>
  <cols>
    <col min="1" max="1" width="13.5" style="24" bestFit="1" customWidth="1"/>
    <col min="2" max="2" width="16" style="24" customWidth="1"/>
    <col min="3" max="3" width="13.5" style="24" customWidth="1"/>
    <col min="4" max="4" width="13.25" style="24" customWidth="1"/>
    <col min="5" max="5" width="16.5" style="25" customWidth="1"/>
    <col min="6" max="6" width="15.75" style="24" customWidth="1"/>
    <col min="7" max="7" width="15" style="24" customWidth="1"/>
    <col min="8" max="8" width="15.25" style="24" customWidth="1"/>
    <col min="9" max="10" width="16.5" style="24" customWidth="1"/>
    <col min="11" max="11" width="17.08203125" style="24" customWidth="1"/>
    <col min="12" max="12" width="16.25" style="24" customWidth="1"/>
    <col min="13" max="13" width="13.5" style="24" customWidth="1"/>
    <col min="14" max="15" width="11.75" style="24" customWidth="1"/>
    <col min="16" max="17" width="15.75" style="24" customWidth="1"/>
    <col min="18" max="19" width="12.75" customWidth="1"/>
    <col min="20" max="20" width="17" style="13" customWidth="1"/>
    <col min="24" max="16384" width="10.58203125" style="24"/>
  </cols>
  <sheetData>
    <row r="1" spans="1:28" ht="36" customHeight="1" x14ac:dyDescent="0.35">
      <c r="A1" s="76" t="s">
        <v>29</v>
      </c>
      <c r="B1" s="76" t="s">
        <v>26</v>
      </c>
      <c r="C1" s="75" t="s">
        <v>35</v>
      </c>
      <c r="D1" s="75"/>
      <c r="E1" s="75" t="s">
        <v>34</v>
      </c>
      <c r="F1" s="75" t="s">
        <v>33</v>
      </c>
      <c r="G1" s="75" t="s">
        <v>32</v>
      </c>
      <c r="H1" s="75" t="s">
        <v>31</v>
      </c>
      <c r="I1" s="75" t="s">
        <v>30</v>
      </c>
      <c r="J1" s="75" t="s">
        <v>77</v>
      </c>
      <c r="K1" s="75" t="s">
        <v>36</v>
      </c>
      <c r="L1" s="75" t="s">
        <v>37</v>
      </c>
      <c r="M1" s="75" t="s">
        <v>38</v>
      </c>
      <c r="N1" s="75" t="s">
        <v>40</v>
      </c>
      <c r="O1" s="75" t="s">
        <v>39</v>
      </c>
      <c r="P1" s="75" t="s">
        <v>41</v>
      </c>
      <c r="Q1" s="78" t="s">
        <v>42</v>
      </c>
      <c r="R1" s="77" t="s">
        <v>43</v>
      </c>
      <c r="S1" s="78"/>
      <c r="T1" s="80" t="s">
        <v>48</v>
      </c>
      <c r="U1" s="24"/>
    </row>
    <row r="2" spans="1:28" x14ac:dyDescent="0.35">
      <c r="A2" s="76"/>
      <c r="B2" s="76"/>
      <c r="C2" s="23" t="s">
        <v>27</v>
      </c>
      <c r="D2" s="23" t="s">
        <v>28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9"/>
      <c r="R2" s="77"/>
      <c r="S2" s="79"/>
      <c r="T2" s="80"/>
      <c r="U2" s="24"/>
    </row>
    <row r="3" spans="1:28" x14ac:dyDescent="0.35">
      <c r="A3" s="32"/>
      <c r="B3" s="32"/>
      <c r="C3" s="32"/>
      <c r="D3" s="32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W3" s="24"/>
      <c r="X3" s="65" t="s">
        <v>76</v>
      </c>
    </row>
    <row r="4" spans="1:28" customFormat="1" x14ac:dyDescent="0.35">
      <c r="A4" s="81" t="s">
        <v>80</v>
      </c>
      <c r="T4" s="13"/>
      <c r="W4" s="24">
        <f>0.5*AB$9*EXP((AB$6*AB$4*AB$8*E4/1000)/(2*AB$5*296*0.05))*(EXP(-AB$7*E4/1000)*ERFC((E4/1000-2*AB$7*AB$10*10^(-12)*24*3600)/(2*SQRT(AB$10*10^(-12)*24*3600)))+EXP(AB$7*E4/1000)*ERFC((E4/1000+2*AB$7*AB$10*10^(-12)*24*3600)/(2*SQRT(AB$10*10^(-12)*24*3600))))</f>
        <v>3.3348560169611425</v>
      </c>
      <c r="X4" s="60">
        <f>(W4-R4)^2</f>
        <v>11.121264653861935</v>
      </c>
      <c r="AA4" s="65" t="s">
        <v>73</v>
      </c>
      <c r="AB4" s="65">
        <f>9.648*10^4</f>
        <v>96480</v>
      </c>
    </row>
    <row r="5" spans="1:28" x14ac:dyDescent="0.35">
      <c r="A5" s="22">
        <v>1</v>
      </c>
      <c r="B5" s="26">
        <v>45245</v>
      </c>
      <c r="C5" s="22">
        <v>0</v>
      </c>
      <c r="D5" s="22">
        <v>2</v>
      </c>
      <c r="E5" s="47">
        <f>AVERAGE(C5:D5)</f>
        <v>1</v>
      </c>
      <c r="F5" s="38">
        <v>112.4</v>
      </c>
      <c r="G5" s="38">
        <v>113.72499999999999</v>
      </c>
      <c r="H5" s="38">
        <v>113.499</v>
      </c>
      <c r="I5" s="34">
        <f>H5-F5</f>
        <v>1.0989999999999895</v>
      </c>
      <c r="J5" s="70">
        <f>100*(G5-H5)/(G5-F5)</f>
        <v>17.056603773584982</v>
      </c>
      <c r="K5" s="38">
        <v>111.08</v>
      </c>
      <c r="L5" s="38">
        <v>264.15199999999999</v>
      </c>
      <c r="M5" s="34">
        <f>L5-K5</f>
        <v>153.072</v>
      </c>
      <c r="N5" s="58">
        <v>9.7539999999999996</v>
      </c>
      <c r="O5" s="40">
        <v>119</v>
      </c>
      <c r="P5" s="36">
        <f>((N5/1000)*0.1)*1000</f>
        <v>0.97539999999999993</v>
      </c>
      <c r="Q5" s="36">
        <v>0</v>
      </c>
      <c r="R5" s="52">
        <f>IF(ISBLANK(N5),NA(),100*((P5-Q5)/1000)*35.45/I5)</f>
        <v>3.1463084622384287</v>
      </c>
      <c r="S5" s="52"/>
      <c r="T5" s="55"/>
      <c r="U5" s="24"/>
      <c r="W5" s="24">
        <f t="shared" ref="W5:W12" si="0">0.5*AB$9*EXP((AB$6*AB$4*AB$8*E5/1000)/(2*AB$5*296*0.05))*(EXP(-AB$7*E5/1000)*ERFC((E5/1000-2*AB$7*AB$10*10^(-12)*24*3600)/(2*SQRT(AB$10*10^(-12)*24*3600)))+EXP(AB$7*E5/1000)*ERFC((E5/1000+2*AB$7*AB$10*10^(-12)*24*3600)/(2*SQRT(AB$10*10^(-12)*24*3600))))</f>
        <v>3.1143094951812444</v>
      </c>
      <c r="X5" s="60">
        <f>(W5-R5)^2</f>
        <v>1.0239338927267663E-3</v>
      </c>
      <c r="AA5" t="s">
        <v>16</v>
      </c>
      <c r="AB5">
        <v>8.3140000000000001</v>
      </c>
    </row>
    <row r="6" spans="1:28" x14ac:dyDescent="0.35">
      <c r="A6" s="22">
        <v>2</v>
      </c>
      <c r="B6" s="26">
        <v>45245</v>
      </c>
      <c r="C6" s="22">
        <v>2</v>
      </c>
      <c r="D6" s="22">
        <v>6</v>
      </c>
      <c r="E6" s="47">
        <f t="shared" ref="E6:E62" si="1">AVERAGE(C6:D6)</f>
        <v>4</v>
      </c>
      <c r="F6" s="38">
        <v>113.498</v>
      </c>
      <c r="G6" s="38">
        <v>116.095</v>
      </c>
      <c r="H6" s="38">
        <v>115.66500000000001</v>
      </c>
      <c r="I6" s="34">
        <f t="shared" ref="I6:I12" si="2">H6-F6</f>
        <v>2.1670000000000016</v>
      </c>
      <c r="J6" s="70">
        <f t="shared" ref="J6:J62" si="3">100*(G6-H6)/(G6-F6)</f>
        <v>16.557566422795286</v>
      </c>
      <c r="K6" s="38">
        <v>113.29</v>
      </c>
      <c r="L6" s="38">
        <v>263.14100000000002</v>
      </c>
      <c r="M6" s="34">
        <f t="shared" ref="M6:M12" si="4">L6-K6</f>
        <v>149.851</v>
      </c>
      <c r="N6" s="58">
        <v>14.984999999999999</v>
      </c>
      <c r="O6" s="40">
        <v>148.6</v>
      </c>
      <c r="P6" s="36">
        <f t="shared" ref="P6:P62" si="5">((N6/1000)*0.1)*1000</f>
        <v>1.4984999999999999</v>
      </c>
      <c r="Q6" s="36">
        <v>0</v>
      </c>
      <c r="R6" s="52">
        <f t="shared" ref="R6:R62" si="6">IF(ISBLANK(N6),NA(),100*((P6-Q6)/1000)*35.45/I6)</f>
        <v>2.4513994000922921</v>
      </c>
      <c r="S6" s="52"/>
      <c r="T6" s="55"/>
      <c r="U6" s="24"/>
      <c r="W6" s="24">
        <f t="shared" si="0"/>
        <v>2.5363887357109056</v>
      </c>
      <c r="X6" s="60">
        <f t="shared" ref="X6:X12" si="7">(W6-R6)^2</f>
        <v>7.2231871688933332E-3</v>
      </c>
      <c r="AA6" s="65" t="s">
        <v>74</v>
      </c>
      <c r="AB6" s="24">
        <v>1</v>
      </c>
    </row>
    <row r="7" spans="1:28" x14ac:dyDescent="0.35">
      <c r="A7" s="22">
        <v>3</v>
      </c>
      <c r="B7" s="26">
        <v>45245</v>
      </c>
      <c r="C7" s="22">
        <v>6</v>
      </c>
      <c r="D7" s="22">
        <v>10</v>
      </c>
      <c r="E7" s="47">
        <f t="shared" si="1"/>
        <v>8</v>
      </c>
      <c r="F7" s="38">
        <v>110.83199999999999</v>
      </c>
      <c r="G7" s="38">
        <v>113.03</v>
      </c>
      <c r="H7" s="38">
        <v>112.66800000000001</v>
      </c>
      <c r="I7" s="34">
        <f t="shared" si="2"/>
        <v>1.8360000000000127</v>
      </c>
      <c r="J7" s="70">
        <f t="shared" si="3"/>
        <v>16.4695177434028</v>
      </c>
      <c r="K7" s="38">
        <v>113.85</v>
      </c>
      <c r="L7" s="38">
        <v>265.11599999999999</v>
      </c>
      <c r="M7" s="34">
        <f t="shared" si="4"/>
        <v>151.26599999999999</v>
      </c>
      <c r="N7" s="58">
        <v>10.411</v>
      </c>
      <c r="O7" s="40">
        <v>52.5</v>
      </c>
      <c r="P7" s="36">
        <f t="shared" si="5"/>
        <v>1.0411000000000001</v>
      </c>
      <c r="Q7" s="36">
        <v>0</v>
      </c>
      <c r="R7" s="52">
        <f t="shared" si="6"/>
        <v>2.010184912854017</v>
      </c>
      <c r="S7" s="52"/>
      <c r="T7" s="55"/>
      <c r="U7" s="24"/>
      <c r="W7" s="24">
        <f t="shared" si="0"/>
        <v>1.9290988979661565</v>
      </c>
      <c r="X7" s="60">
        <f t="shared" si="7"/>
        <v>6.5749418103943332E-3</v>
      </c>
      <c r="AA7" s="65" t="s">
        <v>72</v>
      </c>
      <c r="AB7" s="68">
        <f>SQRT(((AB6*AB4*AB$8)/(2*AB5*296*0.05))^2+AB11/(AB10*10^(-12)))</f>
        <v>5949.0922301815663</v>
      </c>
    </row>
    <row r="8" spans="1:28" x14ac:dyDescent="0.35">
      <c r="A8" s="22">
        <v>4</v>
      </c>
      <c r="B8" s="26">
        <v>45245</v>
      </c>
      <c r="C8" s="22">
        <v>10</v>
      </c>
      <c r="D8" s="22">
        <v>14</v>
      </c>
      <c r="E8" s="47">
        <f t="shared" si="1"/>
        <v>12</v>
      </c>
      <c r="F8" s="38">
        <v>114.489</v>
      </c>
      <c r="G8" s="38">
        <v>116.72499999999999</v>
      </c>
      <c r="H8" s="38">
        <v>116.357</v>
      </c>
      <c r="I8" s="34">
        <f t="shared" si="2"/>
        <v>1.867999999999995</v>
      </c>
      <c r="J8" s="70">
        <f t="shared" si="3"/>
        <v>16.457960644007006</v>
      </c>
      <c r="K8" s="38">
        <v>115.66</v>
      </c>
      <c r="L8" s="38">
        <v>266.47800000000001</v>
      </c>
      <c r="M8" s="34">
        <f t="shared" si="4"/>
        <v>150.81800000000001</v>
      </c>
      <c r="N8" s="58">
        <v>7.5670000000000002</v>
      </c>
      <c r="O8" s="40">
        <v>152.30000000000001</v>
      </c>
      <c r="P8" s="36">
        <f t="shared" si="5"/>
        <v>0.75670000000000004</v>
      </c>
      <c r="Q8" s="36">
        <v>0</v>
      </c>
      <c r="R8" s="52">
        <f t="shared" si="6"/>
        <v>1.4360286402569633</v>
      </c>
      <c r="S8" s="52"/>
      <c r="T8" s="55"/>
      <c r="U8" s="24"/>
      <c r="W8" s="24">
        <f t="shared" si="0"/>
        <v>1.4627894622457527</v>
      </c>
      <c r="X8" s="60">
        <f t="shared" si="7"/>
        <v>7.1614159351567291E-4</v>
      </c>
      <c r="AA8" s="65" t="s">
        <v>75</v>
      </c>
      <c r="AB8" s="24">
        <v>15</v>
      </c>
    </row>
    <row r="9" spans="1:28" x14ac:dyDescent="0.35">
      <c r="A9" s="22">
        <v>5</v>
      </c>
      <c r="B9" s="26">
        <v>45245</v>
      </c>
      <c r="C9" s="22">
        <v>14</v>
      </c>
      <c r="D9" s="22">
        <v>18</v>
      </c>
      <c r="E9" s="47">
        <f t="shared" si="1"/>
        <v>16</v>
      </c>
      <c r="F9" s="38">
        <v>106.87</v>
      </c>
      <c r="G9" s="38">
        <v>109.03400000000001</v>
      </c>
      <c r="H9" s="38">
        <v>108.69</v>
      </c>
      <c r="I9" s="34">
        <f t="shared" si="2"/>
        <v>1.8199999999999932</v>
      </c>
      <c r="J9" s="70">
        <f t="shared" si="3"/>
        <v>15.896487985212943</v>
      </c>
      <c r="K9" s="38">
        <v>114.92</v>
      </c>
      <c r="L9" s="38">
        <v>260.88299999999998</v>
      </c>
      <c r="M9" s="34">
        <f t="shared" si="4"/>
        <v>145.96299999999997</v>
      </c>
      <c r="N9" s="58">
        <v>3.5910000000000002</v>
      </c>
      <c r="O9" s="40">
        <v>113.7</v>
      </c>
      <c r="P9" s="36">
        <f t="shared" si="5"/>
        <v>0.35909999999999997</v>
      </c>
      <c r="Q9" s="36">
        <v>0</v>
      </c>
      <c r="R9" s="52">
        <f t="shared" si="6"/>
        <v>0.6994557692307718</v>
      </c>
      <c r="S9" s="52"/>
      <c r="T9" s="55"/>
      <c r="U9" s="24"/>
      <c r="W9" s="24">
        <f t="shared" si="0"/>
        <v>0.70211922645487856</v>
      </c>
      <c r="X9" s="60">
        <f t="shared" si="7"/>
        <v>7.0940043846465352E-6</v>
      </c>
      <c r="AA9" s="65" t="s">
        <v>69</v>
      </c>
      <c r="AB9" s="37">
        <v>3.3348560169611425</v>
      </c>
    </row>
    <row r="10" spans="1:28" x14ac:dyDescent="0.35">
      <c r="A10" s="22">
        <v>6</v>
      </c>
      <c r="B10" s="26">
        <v>45245</v>
      </c>
      <c r="C10" s="22">
        <v>18</v>
      </c>
      <c r="D10" s="22">
        <v>22</v>
      </c>
      <c r="E10" s="47">
        <f>AVERAGE(C10:D10)</f>
        <v>20</v>
      </c>
      <c r="F10" s="38">
        <v>105.83799999999999</v>
      </c>
      <c r="G10" s="38">
        <v>107.137</v>
      </c>
      <c r="H10" s="38">
        <v>107.444</v>
      </c>
      <c r="I10" s="34">
        <f t="shared" si="2"/>
        <v>1.6060000000000088</v>
      </c>
      <c r="J10" s="70">
        <f t="shared" si="3"/>
        <v>-23.633564280215598</v>
      </c>
      <c r="K10" s="38">
        <v>113.58</v>
      </c>
      <c r="L10" s="38">
        <v>261.83699999999999</v>
      </c>
      <c r="M10" s="34">
        <f t="shared" si="4"/>
        <v>148.25700000000001</v>
      </c>
      <c r="N10" s="58">
        <v>0.222</v>
      </c>
      <c r="O10" s="40">
        <v>61.6</v>
      </c>
      <c r="P10" s="36">
        <f t="shared" si="5"/>
        <v>2.2200000000000001E-2</v>
      </c>
      <c r="Q10" s="36">
        <v>0</v>
      </c>
      <c r="R10" s="52">
        <f>IF(ISBLANK(N10),NA(),100*((P10-Q10)/1000)*35.45/I10)</f>
        <v>4.9003113325030878E-2</v>
      </c>
      <c r="S10" s="52"/>
      <c r="T10" s="55"/>
      <c r="U10" s="24"/>
      <c r="W10" s="24">
        <f t="shared" si="0"/>
        <v>1.5812742379313818E-2</v>
      </c>
      <c r="X10" s="60">
        <f t="shared" si="7"/>
        <v>1.1016007235142989E-3</v>
      </c>
      <c r="AA10" s="65" t="s">
        <v>70</v>
      </c>
      <c r="AB10" s="66">
        <v>16.014333917422356</v>
      </c>
    </row>
    <row r="11" spans="1:28" x14ac:dyDescent="0.35">
      <c r="A11" s="22">
        <v>7</v>
      </c>
      <c r="B11" s="26">
        <v>45245</v>
      </c>
      <c r="C11" s="22">
        <v>22</v>
      </c>
      <c r="D11" s="22">
        <v>26</v>
      </c>
      <c r="E11" s="47">
        <f t="shared" si="1"/>
        <v>24</v>
      </c>
      <c r="F11" s="38">
        <v>97.635000000000005</v>
      </c>
      <c r="G11" s="38">
        <v>99.808999999999997</v>
      </c>
      <c r="H11" s="38">
        <v>99.495999999999995</v>
      </c>
      <c r="I11" s="34">
        <f t="shared" si="2"/>
        <v>1.86099999999999</v>
      </c>
      <c r="J11" s="70">
        <f t="shared" si="3"/>
        <v>14.397424103036039</v>
      </c>
      <c r="K11" s="38">
        <v>112.46</v>
      </c>
      <c r="L11" s="38">
        <v>265.69299999999998</v>
      </c>
      <c r="M11" s="34">
        <f t="shared" si="4"/>
        <v>153.233</v>
      </c>
      <c r="N11" s="58">
        <v>1.0940000000000001</v>
      </c>
      <c r="O11" s="40">
        <v>91</v>
      </c>
      <c r="P11" s="36">
        <f t="shared" si="5"/>
        <v>0.10940000000000001</v>
      </c>
      <c r="Q11" s="36">
        <f t="shared" ref="Q11:Q62" si="8">0.1*0.001*1000</f>
        <v>0.1</v>
      </c>
      <c r="R11" s="52">
        <f t="shared" si="6"/>
        <v>1.7905964535196238E-2</v>
      </c>
      <c r="S11" s="52"/>
      <c r="T11" s="55"/>
      <c r="U11" s="24"/>
      <c r="W11" s="24">
        <f t="shared" si="0"/>
        <v>2.2639786109154516E-6</v>
      </c>
      <c r="X11" s="60">
        <f t="shared" si="7"/>
        <v>3.2054249361987354E-4</v>
      </c>
      <c r="AA11" s="65" t="s">
        <v>71</v>
      </c>
      <c r="AB11" s="67">
        <v>1.2962267318669139E-5</v>
      </c>
    </row>
    <row r="12" spans="1:28" x14ac:dyDescent="0.35">
      <c r="A12" s="22">
        <v>8</v>
      </c>
      <c r="B12" s="26">
        <v>45245</v>
      </c>
      <c r="C12" s="22">
        <v>26</v>
      </c>
      <c r="D12" s="22">
        <v>30</v>
      </c>
      <c r="E12" s="47">
        <f t="shared" si="1"/>
        <v>28</v>
      </c>
      <c r="F12" s="38">
        <v>119.703</v>
      </c>
      <c r="G12" s="38">
        <v>122</v>
      </c>
      <c r="H12" s="38">
        <v>121.639</v>
      </c>
      <c r="I12" s="34">
        <f t="shared" si="2"/>
        <v>1.9359999999999928</v>
      </c>
      <c r="J12" s="70">
        <f t="shared" si="3"/>
        <v>15.716151501959281</v>
      </c>
      <c r="K12" s="38">
        <v>113.53</v>
      </c>
      <c r="L12" s="38">
        <v>266.95400000000001</v>
      </c>
      <c r="M12" s="34">
        <f t="shared" si="4"/>
        <v>153.42400000000001</v>
      </c>
      <c r="N12" s="58">
        <v>1.2250000000000001</v>
      </c>
      <c r="O12" s="40">
        <v>52.7</v>
      </c>
      <c r="P12" s="36">
        <f t="shared" si="5"/>
        <v>0.12250000000000003</v>
      </c>
      <c r="Q12" s="36">
        <f t="shared" si="8"/>
        <v>0.1</v>
      </c>
      <c r="R12" s="52">
        <f t="shared" si="6"/>
        <v>4.1199638429752258E-2</v>
      </c>
      <c r="S12" s="52"/>
      <c r="T12" s="55"/>
      <c r="U12" s="24"/>
      <c r="W12" s="24">
        <f t="shared" si="0"/>
        <v>1.2567485819163785E-12</v>
      </c>
      <c r="X12" s="60">
        <f t="shared" si="7"/>
        <v>1.6974102066387637E-3</v>
      </c>
    </row>
    <row r="13" spans="1:28" customFormat="1" x14ac:dyDescent="0.35">
      <c r="E13" s="48"/>
      <c r="F13" s="14"/>
      <c r="G13" s="14"/>
      <c r="H13" s="14"/>
      <c r="I13" s="14"/>
      <c r="J13" s="71"/>
      <c r="K13" s="14"/>
      <c r="L13" s="14"/>
      <c r="M13" s="14"/>
      <c r="N13" s="7"/>
      <c r="T13" s="56"/>
      <c r="W13" s="24"/>
      <c r="X13" s="69">
        <f>SUM(X5:X12)</f>
        <v>1.8664851893687689E-2</v>
      </c>
    </row>
    <row r="14" spans="1:28" customFormat="1" x14ac:dyDescent="0.35">
      <c r="A14" s="81" t="s">
        <v>81</v>
      </c>
      <c r="E14" s="48"/>
      <c r="F14" s="14"/>
      <c r="G14" s="14"/>
      <c r="H14" s="14"/>
      <c r="I14" s="14"/>
      <c r="J14" s="71"/>
      <c r="K14" s="14"/>
      <c r="L14" s="14"/>
      <c r="M14" s="14"/>
      <c r="N14" s="7"/>
      <c r="T14" s="56" t="s">
        <v>63</v>
      </c>
    </row>
    <row r="15" spans="1:28" x14ac:dyDescent="0.35">
      <c r="A15" s="22">
        <v>1</v>
      </c>
      <c r="B15" s="26"/>
      <c r="C15" s="22">
        <v>0</v>
      </c>
      <c r="D15" s="22">
        <v>2</v>
      </c>
      <c r="E15" s="47">
        <f t="shared" si="1"/>
        <v>1</v>
      </c>
      <c r="F15" s="38">
        <v>129.30000000000001</v>
      </c>
      <c r="G15" s="38"/>
      <c r="H15" s="38"/>
      <c r="I15" s="34">
        <f>H15-F15</f>
        <v>-129.30000000000001</v>
      </c>
      <c r="J15" s="70">
        <f t="shared" si="3"/>
        <v>0</v>
      </c>
      <c r="K15" s="38">
        <f>K5</f>
        <v>111.08</v>
      </c>
      <c r="L15" s="38"/>
      <c r="M15" s="34">
        <f>L15-K15</f>
        <v>-111.08</v>
      </c>
      <c r="N15" s="59"/>
      <c r="O15" s="40"/>
      <c r="P15" s="36">
        <f t="shared" si="5"/>
        <v>0</v>
      </c>
      <c r="Q15" s="36">
        <f t="shared" si="8"/>
        <v>0.1</v>
      </c>
      <c r="R15" s="52" t="e">
        <f t="shared" si="6"/>
        <v>#N/A</v>
      </c>
      <c r="S15" s="52">
        <f>R5</f>
        <v>3.1463084622384287</v>
      </c>
      <c r="T15" s="55">
        <f>IF(S15="#N/A",NA(),AVERAGEIF(R15:S15,"&lt;&gt;#N/A"))</f>
        <v>3.1463084622384287</v>
      </c>
      <c r="U15" s="24"/>
    </row>
    <row r="16" spans="1:28" x14ac:dyDescent="0.35">
      <c r="A16" s="22">
        <v>2</v>
      </c>
      <c r="B16" s="26"/>
      <c r="C16" s="22">
        <v>2</v>
      </c>
      <c r="D16" s="22">
        <v>6</v>
      </c>
      <c r="E16" s="47">
        <f>AVERAGE(C16:D16)</f>
        <v>4</v>
      </c>
      <c r="F16" s="38">
        <v>131.88</v>
      </c>
      <c r="G16" s="38"/>
      <c r="H16" s="38"/>
      <c r="I16" s="34">
        <f t="shared" ref="I16:I22" si="9">H16-F16</f>
        <v>-131.88</v>
      </c>
      <c r="J16" s="70">
        <f t="shared" si="3"/>
        <v>0</v>
      </c>
      <c r="K16" s="38">
        <f t="shared" ref="K16:K22" si="10">K6</f>
        <v>113.29</v>
      </c>
      <c r="L16" s="38"/>
      <c r="M16" s="34">
        <f t="shared" ref="M16:M22" si="11">L16-K16</f>
        <v>-113.29</v>
      </c>
      <c r="N16" s="58"/>
      <c r="O16" s="40"/>
      <c r="P16" s="36">
        <f t="shared" si="5"/>
        <v>0</v>
      </c>
      <c r="Q16" s="36">
        <f t="shared" si="8"/>
        <v>0.1</v>
      </c>
      <c r="R16" s="52" t="e">
        <f t="shared" si="6"/>
        <v>#N/A</v>
      </c>
      <c r="S16" s="52">
        <f t="shared" ref="S16:S22" si="12">R6</f>
        <v>2.4513994000922921</v>
      </c>
      <c r="T16" s="55">
        <f t="shared" ref="T16:T22" si="13">IF(S16="#N/A",NA(),AVERAGEIF(R16:S16,"&lt;&gt;#N/A"))</f>
        <v>2.4513994000922921</v>
      </c>
      <c r="U16" s="24"/>
    </row>
    <row r="17" spans="1:29" x14ac:dyDescent="0.35">
      <c r="A17" s="22">
        <v>3</v>
      </c>
      <c r="B17" s="26"/>
      <c r="C17" s="22">
        <v>6</v>
      </c>
      <c r="D17" s="22">
        <v>10</v>
      </c>
      <c r="E17" s="47">
        <f t="shared" si="1"/>
        <v>8</v>
      </c>
      <c r="F17" s="38">
        <v>130.72</v>
      </c>
      <c r="G17" s="38"/>
      <c r="H17" s="38"/>
      <c r="I17" s="34">
        <f t="shared" si="9"/>
        <v>-130.72</v>
      </c>
      <c r="J17" s="70">
        <f t="shared" si="3"/>
        <v>0</v>
      </c>
      <c r="K17" s="38">
        <f t="shared" si="10"/>
        <v>113.85</v>
      </c>
      <c r="L17" s="38"/>
      <c r="M17" s="34">
        <f t="shared" si="11"/>
        <v>-113.85</v>
      </c>
      <c r="N17" s="58"/>
      <c r="O17" s="40"/>
      <c r="P17" s="36">
        <f t="shared" si="5"/>
        <v>0</v>
      </c>
      <c r="Q17" s="36">
        <f t="shared" si="8"/>
        <v>0.1</v>
      </c>
      <c r="R17" s="52" t="e">
        <f t="shared" si="6"/>
        <v>#N/A</v>
      </c>
      <c r="S17" s="52">
        <f t="shared" si="12"/>
        <v>2.010184912854017</v>
      </c>
      <c r="T17" s="55">
        <f t="shared" si="13"/>
        <v>2.010184912854017</v>
      </c>
      <c r="U17" s="24"/>
    </row>
    <row r="18" spans="1:29" x14ac:dyDescent="0.35">
      <c r="A18" s="22">
        <v>4</v>
      </c>
      <c r="B18" s="26"/>
      <c r="C18" s="22">
        <v>10</v>
      </c>
      <c r="D18" s="22">
        <v>14</v>
      </c>
      <c r="E18" s="47">
        <f t="shared" si="1"/>
        <v>12</v>
      </c>
      <c r="F18" s="38">
        <v>128.25</v>
      </c>
      <c r="G18" s="38"/>
      <c r="H18" s="38"/>
      <c r="I18" s="34">
        <f t="shared" si="9"/>
        <v>-128.25</v>
      </c>
      <c r="J18" s="70">
        <f t="shared" si="3"/>
        <v>0</v>
      </c>
      <c r="K18" s="38">
        <f t="shared" si="10"/>
        <v>115.66</v>
      </c>
      <c r="L18" s="38"/>
      <c r="M18" s="34">
        <f t="shared" si="11"/>
        <v>-115.66</v>
      </c>
      <c r="N18" s="58"/>
      <c r="O18" s="40"/>
      <c r="P18" s="36">
        <f t="shared" si="5"/>
        <v>0</v>
      </c>
      <c r="Q18" s="36">
        <f t="shared" si="8"/>
        <v>0.1</v>
      </c>
      <c r="R18" s="52" t="e">
        <f t="shared" si="6"/>
        <v>#N/A</v>
      </c>
      <c r="S18" s="52">
        <f t="shared" si="12"/>
        <v>1.4360286402569633</v>
      </c>
      <c r="T18" s="55">
        <f t="shared" si="13"/>
        <v>1.4360286402569633</v>
      </c>
      <c r="U18" s="24"/>
    </row>
    <row r="19" spans="1:29" x14ac:dyDescent="0.35">
      <c r="A19" s="22">
        <v>5</v>
      </c>
      <c r="B19" s="26"/>
      <c r="C19" s="22">
        <v>14</v>
      </c>
      <c r="D19" s="22">
        <v>18</v>
      </c>
      <c r="E19" s="47">
        <f t="shared" si="1"/>
        <v>16</v>
      </c>
      <c r="F19" s="38">
        <v>129.37</v>
      </c>
      <c r="G19" s="38"/>
      <c r="H19" s="38"/>
      <c r="I19" s="34">
        <f t="shared" si="9"/>
        <v>-129.37</v>
      </c>
      <c r="J19" s="70">
        <f t="shared" si="3"/>
        <v>0</v>
      </c>
      <c r="K19" s="38">
        <f t="shared" si="10"/>
        <v>114.92</v>
      </c>
      <c r="L19" s="38"/>
      <c r="M19" s="34">
        <f t="shared" si="11"/>
        <v>-114.92</v>
      </c>
      <c r="N19" s="58"/>
      <c r="O19" s="40"/>
      <c r="P19" s="36">
        <f t="shared" si="5"/>
        <v>0</v>
      </c>
      <c r="Q19" s="36">
        <f t="shared" si="8"/>
        <v>0.1</v>
      </c>
      <c r="R19" s="52" t="e">
        <f t="shared" si="6"/>
        <v>#N/A</v>
      </c>
      <c r="S19" s="52">
        <f t="shared" si="12"/>
        <v>0.6994557692307718</v>
      </c>
      <c r="T19" s="55">
        <f t="shared" si="13"/>
        <v>0.6994557692307718</v>
      </c>
      <c r="U19" s="24"/>
    </row>
    <row r="20" spans="1:29" x14ac:dyDescent="0.35">
      <c r="A20" s="22">
        <v>6</v>
      </c>
      <c r="B20" s="26"/>
      <c r="C20" s="22">
        <v>18</v>
      </c>
      <c r="D20" s="22">
        <v>22</v>
      </c>
      <c r="E20" s="47">
        <f t="shared" si="1"/>
        <v>20</v>
      </c>
      <c r="F20" s="38">
        <v>116.36</v>
      </c>
      <c r="G20" s="38"/>
      <c r="H20" s="38"/>
      <c r="I20" s="34">
        <f t="shared" si="9"/>
        <v>-116.36</v>
      </c>
      <c r="J20" s="70">
        <f t="shared" si="3"/>
        <v>0</v>
      </c>
      <c r="K20" s="38">
        <f t="shared" si="10"/>
        <v>113.58</v>
      </c>
      <c r="L20" s="38"/>
      <c r="M20" s="34">
        <f t="shared" si="11"/>
        <v>-113.58</v>
      </c>
      <c r="N20" s="58"/>
      <c r="O20" s="40"/>
      <c r="P20" s="36">
        <f t="shared" si="5"/>
        <v>0</v>
      </c>
      <c r="Q20" s="36">
        <f t="shared" si="8"/>
        <v>0.1</v>
      </c>
      <c r="R20" s="52" t="e">
        <f t="shared" si="6"/>
        <v>#N/A</v>
      </c>
      <c r="S20" s="52">
        <f t="shared" si="12"/>
        <v>4.9003113325030878E-2</v>
      </c>
      <c r="T20" s="55">
        <f t="shared" si="13"/>
        <v>4.9003113325030878E-2</v>
      </c>
      <c r="U20" s="24"/>
    </row>
    <row r="21" spans="1:29" x14ac:dyDescent="0.35">
      <c r="A21" s="22">
        <v>7</v>
      </c>
      <c r="B21" s="26"/>
      <c r="C21" s="22">
        <v>22</v>
      </c>
      <c r="D21" s="22">
        <v>26</v>
      </c>
      <c r="E21" s="47">
        <f t="shared" si="1"/>
        <v>24</v>
      </c>
      <c r="F21" s="38">
        <v>130.97</v>
      </c>
      <c r="G21" s="38"/>
      <c r="H21" s="38"/>
      <c r="I21" s="34">
        <f t="shared" si="9"/>
        <v>-130.97</v>
      </c>
      <c r="J21" s="70">
        <f t="shared" si="3"/>
        <v>0</v>
      </c>
      <c r="K21" s="38">
        <f t="shared" si="10"/>
        <v>112.46</v>
      </c>
      <c r="L21" s="38"/>
      <c r="M21" s="34">
        <f t="shared" si="11"/>
        <v>-112.46</v>
      </c>
      <c r="N21" s="58"/>
      <c r="O21" s="40"/>
      <c r="P21" s="36">
        <f t="shared" si="5"/>
        <v>0</v>
      </c>
      <c r="Q21" s="36">
        <f t="shared" si="8"/>
        <v>0.1</v>
      </c>
      <c r="R21" s="52" t="e">
        <f t="shared" si="6"/>
        <v>#N/A</v>
      </c>
      <c r="S21" s="52">
        <f t="shared" si="12"/>
        <v>1.7905964535196238E-2</v>
      </c>
      <c r="T21" s="55">
        <f t="shared" si="13"/>
        <v>1.7905964535196238E-2</v>
      </c>
      <c r="U21" s="24"/>
    </row>
    <row r="22" spans="1:29" x14ac:dyDescent="0.35">
      <c r="A22" s="22">
        <v>8</v>
      </c>
      <c r="B22" s="26"/>
      <c r="C22" s="22">
        <v>26</v>
      </c>
      <c r="D22" s="22">
        <v>30</v>
      </c>
      <c r="E22" s="47">
        <f t="shared" si="1"/>
        <v>28</v>
      </c>
      <c r="F22" s="38">
        <v>125.85</v>
      </c>
      <c r="G22" s="38"/>
      <c r="H22" s="38"/>
      <c r="I22" s="34">
        <f t="shared" si="9"/>
        <v>-125.85</v>
      </c>
      <c r="J22" s="70">
        <f t="shared" si="3"/>
        <v>0</v>
      </c>
      <c r="K22" s="38">
        <f t="shared" si="10"/>
        <v>113.53</v>
      </c>
      <c r="L22" s="38"/>
      <c r="M22" s="34">
        <f t="shared" si="11"/>
        <v>-113.53</v>
      </c>
      <c r="N22" s="58"/>
      <c r="O22" s="40"/>
      <c r="P22" s="36">
        <f t="shared" si="5"/>
        <v>0</v>
      </c>
      <c r="Q22" s="36">
        <f t="shared" si="8"/>
        <v>0.1</v>
      </c>
      <c r="R22" s="52" t="e">
        <f t="shared" si="6"/>
        <v>#N/A</v>
      </c>
      <c r="S22" s="52">
        <f t="shared" si="12"/>
        <v>4.1199638429752258E-2</v>
      </c>
      <c r="T22" s="55">
        <f t="shared" si="13"/>
        <v>4.1199638429752258E-2</v>
      </c>
      <c r="U22" s="24"/>
    </row>
    <row r="23" spans="1:29" x14ac:dyDescent="0.35">
      <c r="E23" s="49"/>
      <c r="F23" s="37"/>
      <c r="G23" s="37"/>
      <c r="H23" s="37"/>
      <c r="I23" s="37"/>
      <c r="J23" s="71"/>
      <c r="K23" s="37"/>
      <c r="L23" s="37"/>
      <c r="M23" s="37"/>
      <c r="N23" s="60"/>
      <c r="O23"/>
      <c r="P23"/>
      <c r="Q23"/>
      <c r="T23" s="56"/>
      <c r="W23" s="24"/>
      <c r="X23" s="65" t="s">
        <v>76</v>
      </c>
    </row>
    <row r="24" spans="1:29" x14ac:dyDescent="0.35">
      <c r="A24" s="81" t="s">
        <v>83</v>
      </c>
      <c r="E24" s="49">
        <v>0</v>
      </c>
      <c r="F24" s="37"/>
      <c r="G24" s="37"/>
      <c r="H24" s="37"/>
      <c r="I24" s="37"/>
      <c r="J24" s="71"/>
      <c r="K24" s="37"/>
      <c r="L24" s="37"/>
      <c r="M24" s="37"/>
      <c r="N24" s="61"/>
      <c r="O24"/>
      <c r="P24"/>
      <c r="Q24"/>
      <c r="T24" s="56"/>
      <c r="W24" s="24">
        <f>0.5*AB$29*EXP((AB$26*AB$24*AB$28*E24/1000)/(2*AB$25*296*0.05))*(EXP(-AB$27*E24/1000)*ERFC((E24/1000-2*AB$27*AB$30*10^(-12)*24*3600)/(2*SQRT(AB$30*10^(-12)*24*3600)))+EXP(AB$27*E24/1000)*ERFC((E24/1000+2*AB$27*AB$30*10^(-12)*24*3600)/(2*SQRT(AB$30*10^(-12)*24*3600))))</f>
        <v>3.2976233486899416</v>
      </c>
      <c r="X24" s="60">
        <f>(W24-R24)^2</f>
        <v>10.874319749825064</v>
      </c>
      <c r="Y24"/>
      <c r="Z24"/>
      <c r="AA24" s="65" t="s">
        <v>73</v>
      </c>
      <c r="AB24" s="65">
        <f>9.648*10^4</f>
        <v>96480</v>
      </c>
    </row>
    <row r="25" spans="1:29" x14ac:dyDescent="0.35">
      <c r="A25" s="22">
        <v>1</v>
      </c>
      <c r="B25" s="26">
        <v>45247</v>
      </c>
      <c r="C25" s="22">
        <v>0</v>
      </c>
      <c r="D25" s="22">
        <v>2</v>
      </c>
      <c r="E25" s="47">
        <f t="shared" si="1"/>
        <v>1</v>
      </c>
      <c r="F25" s="38">
        <f>F5</f>
        <v>112.4</v>
      </c>
      <c r="G25" s="38">
        <v>113.553</v>
      </c>
      <c r="H25" s="38">
        <v>113.32599999999999</v>
      </c>
      <c r="I25" s="34">
        <f>H25-F25</f>
        <v>0.92599999999998772</v>
      </c>
      <c r="J25" s="70">
        <f t="shared" si="3"/>
        <v>19.68777103209068</v>
      </c>
      <c r="K25" s="38">
        <f>K5</f>
        <v>111.08</v>
      </c>
      <c r="L25" s="38">
        <v>262.68</v>
      </c>
      <c r="M25" s="34">
        <f>L25-K25</f>
        <v>151.60000000000002</v>
      </c>
      <c r="N25" s="59">
        <v>7.8659999999999997</v>
      </c>
      <c r="O25" s="40">
        <v>123.6</v>
      </c>
      <c r="P25" s="36">
        <f t="shared" si="5"/>
        <v>0.78660000000000008</v>
      </c>
      <c r="Q25" s="36">
        <v>0</v>
      </c>
      <c r="R25" s="52">
        <f t="shared" si="6"/>
        <v>3.01133585313179</v>
      </c>
      <c r="S25" s="52"/>
      <c r="T25" s="55"/>
      <c r="U25" s="24"/>
      <c r="W25" s="24">
        <f t="shared" ref="W25:W32" si="14">0.5*AB$29*EXP((AB$26*AB$24*AB$28*E25/1000)/(2*AB$25*296*0.05))*(EXP(-AB$27*E25/1000)*ERFC((E25/1000-2*AB$27*AB$30*10^(-12)*24*3600)/(2*SQRT(AB$30*10^(-12)*24*3600)))+EXP(AB$27*E25/1000)*ERFC((E25/1000+2*AB$27*AB$30*10^(-12)*24*3600)/(2*SQRT(AB$30*10^(-12)*24*3600))))</f>
        <v>3.0322474945273554</v>
      </c>
      <c r="X25" s="60">
        <f>(W25-R25)^2</f>
        <v>4.3729674585672653E-4</v>
      </c>
      <c r="AA25" t="s">
        <v>16</v>
      </c>
      <c r="AB25">
        <v>8.3140000000000001</v>
      </c>
    </row>
    <row r="26" spans="1:29" x14ac:dyDescent="0.35">
      <c r="A26" s="22">
        <v>2</v>
      </c>
      <c r="B26" s="26">
        <v>45247</v>
      </c>
      <c r="C26" s="22">
        <v>2</v>
      </c>
      <c r="D26" s="22">
        <v>6</v>
      </c>
      <c r="E26" s="47">
        <f t="shared" si="1"/>
        <v>4</v>
      </c>
      <c r="F26" s="38">
        <f t="shared" ref="F26:F32" si="15">F6</f>
        <v>113.498</v>
      </c>
      <c r="G26" s="38">
        <v>115.337</v>
      </c>
      <c r="H26" s="38">
        <v>114.97199999999999</v>
      </c>
      <c r="I26" s="34">
        <f t="shared" ref="I26:I32" si="16">H26-F26</f>
        <v>1.4739999999999895</v>
      </c>
      <c r="J26" s="70">
        <f t="shared" si="3"/>
        <v>19.847743338771579</v>
      </c>
      <c r="K26" s="38">
        <f t="shared" ref="K26:K32" si="17">K6</f>
        <v>113.29</v>
      </c>
      <c r="L26" s="38">
        <v>261.74</v>
      </c>
      <c r="M26" s="34">
        <f t="shared" ref="M26:M32" si="18">L26-K26</f>
        <v>148.44999999999999</v>
      </c>
      <c r="N26" s="58">
        <v>10.220000000000001</v>
      </c>
      <c r="O26" s="40">
        <v>22.8</v>
      </c>
      <c r="P26" s="36">
        <f t="shared" si="5"/>
        <v>1.022</v>
      </c>
      <c r="Q26" s="36">
        <v>0</v>
      </c>
      <c r="R26" s="52">
        <f t="shared" si="6"/>
        <v>2.4579308005427585</v>
      </c>
      <c r="S26" s="52"/>
      <c r="T26" s="55"/>
      <c r="U26" s="24"/>
      <c r="W26" s="24">
        <f t="shared" si="14"/>
        <v>2.357520268181994</v>
      </c>
      <c r="X26" s="60">
        <f t="shared" ref="X26:X32" si="19">(W26-R26)^2</f>
        <v>1.0082275008972129E-2</v>
      </c>
      <c r="AA26" s="65" t="s">
        <v>74</v>
      </c>
      <c r="AB26" s="24">
        <v>1</v>
      </c>
    </row>
    <row r="27" spans="1:29" x14ac:dyDescent="0.35">
      <c r="A27" s="22">
        <v>3</v>
      </c>
      <c r="B27" s="26">
        <v>45247</v>
      </c>
      <c r="C27" s="22">
        <v>6</v>
      </c>
      <c r="D27" s="22">
        <v>10</v>
      </c>
      <c r="E27" s="47">
        <f t="shared" si="1"/>
        <v>8</v>
      </c>
      <c r="F27" s="38">
        <f t="shared" si="15"/>
        <v>110.83199999999999</v>
      </c>
      <c r="G27" s="38">
        <v>113.485</v>
      </c>
      <c r="H27" s="38">
        <v>112.95399999999999</v>
      </c>
      <c r="I27" s="34">
        <f t="shared" si="16"/>
        <v>2.1219999999999999</v>
      </c>
      <c r="J27" s="70">
        <f t="shared" si="3"/>
        <v>20.015077271014125</v>
      </c>
      <c r="K27" s="38">
        <f t="shared" si="17"/>
        <v>113.85</v>
      </c>
      <c r="L27" s="38">
        <v>264.46199999999999</v>
      </c>
      <c r="M27" s="34">
        <f t="shared" si="18"/>
        <v>150.61199999999999</v>
      </c>
      <c r="N27" s="58">
        <v>9.2420000000000009</v>
      </c>
      <c r="O27" s="40">
        <v>160</v>
      </c>
      <c r="P27" s="36">
        <f t="shared" si="5"/>
        <v>0.92420000000000002</v>
      </c>
      <c r="Q27" s="36">
        <v>0</v>
      </c>
      <c r="R27" s="52">
        <f t="shared" si="6"/>
        <v>1.5439627709707824</v>
      </c>
      <c r="S27" s="52"/>
      <c r="T27" s="55"/>
      <c r="U27" s="24"/>
      <c r="W27" s="24">
        <f t="shared" si="14"/>
        <v>1.6854265109133542</v>
      </c>
      <c r="X27" s="60">
        <f t="shared" si="19"/>
        <v>2.0011989718539576E-2</v>
      </c>
      <c r="AA27" s="65" t="s">
        <v>72</v>
      </c>
      <c r="AB27" s="68">
        <f>SQRT(((AB26*AB24*AB$28)/(2*AB25*296*0.05))^2+AB31/(AB30*10^(-12)))</f>
        <v>15765.68507130473</v>
      </c>
      <c r="AC27" s="68"/>
    </row>
    <row r="28" spans="1:29" x14ac:dyDescent="0.35">
      <c r="A28" s="22">
        <v>4</v>
      </c>
      <c r="B28" s="26">
        <v>45247</v>
      </c>
      <c r="C28" s="22">
        <v>10</v>
      </c>
      <c r="D28" s="22">
        <v>14</v>
      </c>
      <c r="E28" s="47">
        <f t="shared" si="1"/>
        <v>12</v>
      </c>
      <c r="F28" s="38">
        <f t="shared" si="15"/>
        <v>114.489</v>
      </c>
      <c r="G28" s="38">
        <v>116.81399999999999</v>
      </c>
      <c r="H28" s="38">
        <v>116.352</v>
      </c>
      <c r="I28" s="34">
        <f t="shared" si="16"/>
        <v>1.8629999999999995</v>
      </c>
      <c r="J28" s="70">
        <f t="shared" si="3"/>
        <v>19.870967741935111</v>
      </c>
      <c r="K28" s="38">
        <f t="shared" si="17"/>
        <v>115.66</v>
      </c>
      <c r="L28" s="38">
        <v>266.13900000000001</v>
      </c>
      <c r="M28" s="34">
        <f t="shared" si="18"/>
        <v>150.47900000000001</v>
      </c>
      <c r="N28" s="58">
        <v>6.3760000000000003</v>
      </c>
      <c r="O28" s="40">
        <v>54.1</v>
      </c>
      <c r="P28" s="36">
        <f t="shared" si="5"/>
        <v>0.63760000000000006</v>
      </c>
      <c r="Q28" s="36">
        <v>0</v>
      </c>
      <c r="R28" s="52">
        <f t="shared" si="6"/>
        <v>1.2132538915727329</v>
      </c>
      <c r="S28" s="52"/>
      <c r="T28" s="55"/>
      <c r="U28" s="24"/>
      <c r="W28" s="24">
        <f t="shared" si="14"/>
        <v>1.2049366285534706</v>
      </c>
      <c r="X28" s="60">
        <f>(W28-R28)^2</f>
        <v>6.9176864131587862E-5</v>
      </c>
      <c r="AA28" s="65" t="s">
        <v>75</v>
      </c>
      <c r="AB28" s="24">
        <v>40</v>
      </c>
    </row>
    <row r="29" spans="1:29" x14ac:dyDescent="0.35">
      <c r="A29" s="22">
        <v>5</v>
      </c>
      <c r="B29" s="26">
        <v>45247</v>
      </c>
      <c r="C29" s="22">
        <v>14</v>
      </c>
      <c r="D29" s="22">
        <v>18</v>
      </c>
      <c r="E29" s="47">
        <f t="shared" si="1"/>
        <v>16</v>
      </c>
      <c r="F29" s="38">
        <f t="shared" si="15"/>
        <v>106.87</v>
      </c>
      <c r="G29" s="38">
        <v>109.03100000000001</v>
      </c>
      <c r="H29" s="38">
        <v>108.601</v>
      </c>
      <c r="I29" s="34">
        <f t="shared" si="16"/>
        <v>1.7309999999999945</v>
      </c>
      <c r="J29" s="70">
        <f t="shared" si="3"/>
        <v>19.898195279963282</v>
      </c>
      <c r="K29" s="38">
        <f t="shared" si="17"/>
        <v>114.92</v>
      </c>
      <c r="L29" s="38">
        <v>262.79199999999997</v>
      </c>
      <c r="M29" s="34">
        <f t="shared" si="18"/>
        <v>147.87199999999996</v>
      </c>
      <c r="N29" s="58">
        <v>4.4870000000000001</v>
      </c>
      <c r="O29" s="40">
        <v>61.8</v>
      </c>
      <c r="P29" s="36">
        <f t="shared" si="5"/>
        <v>0.44869999999999999</v>
      </c>
      <c r="Q29" s="36">
        <v>0</v>
      </c>
      <c r="R29" s="52">
        <f t="shared" si="6"/>
        <v>0.91891478913922875</v>
      </c>
      <c r="S29" s="52"/>
      <c r="T29" s="55"/>
      <c r="U29" s="24"/>
      <c r="W29" s="24">
        <f t="shared" si="14"/>
        <v>0.86142722296731833</v>
      </c>
      <c r="X29" s="60">
        <f t="shared" si="19"/>
        <v>3.3048202643697791E-3</v>
      </c>
      <c r="AA29" s="65" t="s">
        <v>69</v>
      </c>
      <c r="AB29" s="37">
        <v>3.2976233486899416</v>
      </c>
      <c r="AC29" s="37"/>
    </row>
    <row r="30" spans="1:29" x14ac:dyDescent="0.35">
      <c r="A30" s="22">
        <v>6</v>
      </c>
      <c r="B30" s="26">
        <v>45247</v>
      </c>
      <c r="C30" s="22">
        <v>18</v>
      </c>
      <c r="D30" s="22">
        <v>22</v>
      </c>
      <c r="E30" s="47">
        <f t="shared" si="1"/>
        <v>20</v>
      </c>
      <c r="F30" s="38">
        <f t="shared" si="15"/>
        <v>105.83799999999999</v>
      </c>
      <c r="G30" s="38">
        <v>108.593</v>
      </c>
      <c r="H30" s="38">
        <v>108.053</v>
      </c>
      <c r="I30" s="34">
        <f t="shared" si="16"/>
        <v>2.2150000000000034</v>
      </c>
      <c r="J30" s="70">
        <f t="shared" si="3"/>
        <v>19.600725952813224</v>
      </c>
      <c r="K30" s="38">
        <f t="shared" si="17"/>
        <v>113.58</v>
      </c>
      <c r="L30" s="38">
        <v>263.95800000000003</v>
      </c>
      <c r="M30" s="34">
        <f t="shared" si="18"/>
        <v>150.37800000000004</v>
      </c>
      <c r="N30" s="58">
        <v>3.9060000000000001</v>
      </c>
      <c r="O30" s="40">
        <v>53.1</v>
      </c>
      <c r="P30" s="36">
        <f t="shared" si="5"/>
        <v>0.39060000000000006</v>
      </c>
      <c r="Q30" s="36">
        <v>0</v>
      </c>
      <c r="R30" s="52">
        <f t="shared" si="6"/>
        <v>0.62513634311512323</v>
      </c>
      <c r="S30" s="52"/>
      <c r="T30" s="55"/>
      <c r="U30" s="24"/>
      <c r="W30" s="24">
        <f t="shared" si="14"/>
        <v>0.61566962156342053</v>
      </c>
      <c r="X30" s="60">
        <f t="shared" si="19"/>
        <v>8.9618816937472282E-5</v>
      </c>
      <c r="AA30" s="65" t="s">
        <v>70</v>
      </c>
      <c r="AB30" s="66">
        <v>8.8943932695125678</v>
      </c>
    </row>
    <row r="31" spans="1:29" x14ac:dyDescent="0.35">
      <c r="A31" s="22">
        <v>7</v>
      </c>
      <c r="B31" s="26">
        <v>45247</v>
      </c>
      <c r="C31" s="22">
        <v>22</v>
      </c>
      <c r="D31" s="22">
        <v>26</v>
      </c>
      <c r="E31" s="47">
        <f t="shared" si="1"/>
        <v>24</v>
      </c>
      <c r="F31" s="38">
        <f t="shared" si="15"/>
        <v>97.635000000000005</v>
      </c>
      <c r="G31" s="38">
        <v>99.513000000000005</v>
      </c>
      <c r="H31" s="38">
        <v>99.165000000000006</v>
      </c>
      <c r="I31" s="34">
        <f t="shared" si="16"/>
        <v>1.5300000000000011</v>
      </c>
      <c r="J31" s="70">
        <f t="shared" si="3"/>
        <v>18.530351437699625</v>
      </c>
      <c r="K31" s="38">
        <f t="shared" si="17"/>
        <v>112.46</v>
      </c>
      <c r="L31" s="38">
        <v>264.69099999999997</v>
      </c>
      <c r="M31" s="34">
        <f t="shared" si="18"/>
        <v>152.23099999999999</v>
      </c>
      <c r="N31" s="58">
        <v>1.0860000000000001</v>
      </c>
      <c r="O31" s="40">
        <v>55.5</v>
      </c>
      <c r="P31" s="36">
        <f t="shared" si="5"/>
        <v>0.10860000000000003</v>
      </c>
      <c r="Q31" s="36">
        <v>0</v>
      </c>
      <c r="R31" s="52">
        <f t="shared" si="6"/>
        <v>0.25162549019607827</v>
      </c>
      <c r="S31" s="52"/>
      <c r="T31" s="55"/>
      <c r="U31" s="24"/>
      <c r="W31" s="24">
        <f t="shared" si="14"/>
        <v>0.25269102901926999</v>
      </c>
      <c r="X31" s="60">
        <f t="shared" si="19"/>
        <v>1.1353729837287828E-6</v>
      </c>
      <c r="AA31" s="65" t="s">
        <v>71</v>
      </c>
      <c r="AB31" s="67">
        <v>2.346676707456081E-5</v>
      </c>
      <c r="AC31" s="72"/>
    </row>
    <row r="32" spans="1:29" x14ac:dyDescent="0.35">
      <c r="A32" s="22">
        <v>8</v>
      </c>
      <c r="B32" s="26">
        <v>45247</v>
      </c>
      <c r="C32" s="22">
        <v>26</v>
      </c>
      <c r="D32" s="22">
        <v>30</v>
      </c>
      <c r="E32" s="47">
        <f t="shared" si="1"/>
        <v>28</v>
      </c>
      <c r="F32" s="38">
        <f t="shared" si="15"/>
        <v>119.703</v>
      </c>
      <c r="G32" s="38">
        <v>121.789</v>
      </c>
      <c r="H32" s="38">
        <v>121.392</v>
      </c>
      <c r="I32" s="34">
        <f t="shared" si="16"/>
        <v>1.688999999999993</v>
      </c>
      <c r="J32" s="70">
        <f t="shared" si="3"/>
        <v>19.031639501438441</v>
      </c>
      <c r="K32" s="38">
        <f t="shared" si="17"/>
        <v>113.53</v>
      </c>
      <c r="L32" s="38">
        <v>265.56900000000002</v>
      </c>
      <c r="M32" s="34">
        <f t="shared" si="18"/>
        <v>152.03900000000002</v>
      </c>
      <c r="N32" s="58">
        <v>1.639</v>
      </c>
      <c r="O32" s="40">
        <v>66.2</v>
      </c>
      <c r="P32" s="36">
        <f t="shared" si="5"/>
        <v>0.16390000000000002</v>
      </c>
      <c r="Q32" s="36">
        <f t="shared" si="8"/>
        <v>0.1</v>
      </c>
      <c r="R32" s="52">
        <f t="shared" si="6"/>
        <v>0.13411811722913025</v>
      </c>
      <c r="S32" s="52"/>
      <c r="T32" s="55"/>
      <c r="U32" s="24"/>
      <c r="W32" s="24">
        <f t="shared" si="14"/>
        <v>3.722213755591291E-4</v>
      </c>
      <c r="X32" s="60">
        <f t="shared" si="19"/>
        <v>1.7887964657674296E-2</v>
      </c>
    </row>
    <row r="33" spans="1:28" x14ac:dyDescent="0.35">
      <c r="E33" s="49"/>
      <c r="F33" s="37"/>
      <c r="G33" s="37"/>
      <c r="H33" s="37"/>
      <c r="I33" s="37"/>
      <c r="J33" s="71"/>
      <c r="K33" s="37"/>
      <c r="L33" s="37"/>
      <c r="M33" s="37"/>
      <c r="N33" s="60"/>
      <c r="O33"/>
      <c r="P33"/>
      <c r="Q33"/>
      <c r="T33" s="56"/>
      <c r="W33" s="24"/>
      <c r="X33" s="69">
        <f>SUM(X25:X32)</f>
        <v>5.1884277449465298E-2</v>
      </c>
      <c r="Y33"/>
      <c r="Z33"/>
      <c r="AA33"/>
      <c r="AB33"/>
    </row>
    <row r="34" spans="1:28" x14ac:dyDescent="0.35">
      <c r="A34" s="81" t="s">
        <v>82</v>
      </c>
      <c r="E34" s="49"/>
      <c r="F34" s="37"/>
      <c r="G34" s="37"/>
      <c r="H34" s="37"/>
      <c r="I34" s="37"/>
      <c r="J34" s="71"/>
      <c r="K34" s="37"/>
      <c r="L34" s="37"/>
      <c r="M34" s="37"/>
      <c r="N34" s="61"/>
      <c r="O34"/>
      <c r="P34"/>
      <c r="Q34"/>
      <c r="T34" s="56" t="s">
        <v>64</v>
      </c>
    </row>
    <row r="35" spans="1:28" x14ac:dyDescent="0.35">
      <c r="A35" s="22">
        <v>1</v>
      </c>
      <c r="B35" s="26"/>
      <c r="C35" s="22">
        <v>0</v>
      </c>
      <c r="D35" s="22">
        <v>2</v>
      </c>
      <c r="E35" s="47">
        <f t="shared" si="1"/>
        <v>1</v>
      </c>
      <c r="F35" s="38">
        <f>F15</f>
        <v>129.30000000000001</v>
      </c>
      <c r="G35" s="38"/>
      <c r="H35" s="38"/>
      <c r="I35" s="34">
        <f>H35-F35</f>
        <v>-129.30000000000001</v>
      </c>
      <c r="J35" s="70">
        <f t="shared" si="3"/>
        <v>0</v>
      </c>
      <c r="K35" s="38">
        <f>K5</f>
        <v>111.08</v>
      </c>
      <c r="L35" s="38"/>
      <c r="M35" s="34">
        <f>L35-K35</f>
        <v>-111.08</v>
      </c>
      <c r="N35" s="59"/>
      <c r="O35" s="40"/>
      <c r="P35" s="36">
        <f t="shared" si="5"/>
        <v>0</v>
      </c>
      <c r="Q35" s="36">
        <f t="shared" si="8"/>
        <v>0.1</v>
      </c>
      <c r="R35" s="52" t="e">
        <f t="shared" si="6"/>
        <v>#N/A</v>
      </c>
      <c r="S35" s="52">
        <f>R25</f>
        <v>3.01133585313179</v>
      </c>
      <c r="T35" s="55">
        <f>IF(S35="#N/A",NA(),AVERAGEIF(R35:S35,"&lt;&gt;#N/A"))</f>
        <v>3.01133585313179</v>
      </c>
      <c r="U35" s="24"/>
    </row>
    <row r="36" spans="1:28" x14ac:dyDescent="0.35">
      <c r="A36" s="22">
        <v>2</v>
      </c>
      <c r="B36" s="26"/>
      <c r="C36" s="22">
        <v>2</v>
      </c>
      <c r="D36" s="22">
        <v>6</v>
      </c>
      <c r="E36" s="47">
        <f t="shared" si="1"/>
        <v>4</v>
      </c>
      <c r="F36" s="38">
        <f t="shared" ref="F36:F42" si="20">F16</f>
        <v>131.88</v>
      </c>
      <c r="G36" s="38"/>
      <c r="H36" s="38"/>
      <c r="I36" s="34">
        <f t="shared" ref="I36:I42" si="21">H36-F36</f>
        <v>-131.88</v>
      </c>
      <c r="J36" s="70">
        <f t="shared" si="3"/>
        <v>0</v>
      </c>
      <c r="K36" s="38">
        <f t="shared" ref="K36:K42" si="22">K6</f>
        <v>113.29</v>
      </c>
      <c r="L36" s="38"/>
      <c r="M36" s="34">
        <f t="shared" ref="M36:M42" si="23">L36-K36</f>
        <v>-113.29</v>
      </c>
      <c r="N36" s="59"/>
      <c r="O36" s="40"/>
      <c r="P36" s="36">
        <f t="shared" si="5"/>
        <v>0</v>
      </c>
      <c r="Q36" s="36">
        <f t="shared" si="8"/>
        <v>0.1</v>
      </c>
      <c r="R36" s="52" t="e">
        <f t="shared" si="6"/>
        <v>#N/A</v>
      </c>
      <c r="S36" s="52">
        <f t="shared" ref="S36:S42" si="24">R26</f>
        <v>2.4579308005427585</v>
      </c>
      <c r="T36" s="55">
        <f t="shared" ref="T36:T42" si="25">IF(S36="#N/A",NA(),AVERAGEIF(R36:S36,"&lt;&gt;#N/A"))</f>
        <v>2.4579308005427585</v>
      </c>
      <c r="U36" s="24"/>
    </row>
    <row r="37" spans="1:28" x14ac:dyDescent="0.35">
      <c r="A37" s="22">
        <v>3</v>
      </c>
      <c r="B37" s="26"/>
      <c r="C37" s="22">
        <v>6</v>
      </c>
      <c r="D37" s="22">
        <v>10</v>
      </c>
      <c r="E37" s="47">
        <f t="shared" si="1"/>
        <v>8</v>
      </c>
      <c r="F37" s="38">
        <f t="shared" si="20"/>
        <v>130.72</v>
      </c>
      <c r="G37" s="38"/>
      <c r="H37" s="38"/>
      <c r="I37" s="34">
        <f t="shared" si="21"/>
        <v>-130.72</v>
      </c>
      <c r="J37" s="70">
        <f t="shared" si="3"/>
        <v>0</v>
      </c>
      <c r="K37" s="38">
        <f t="shared" si="22"/>
        <v>113.85</v>
      </c>
      <c r="L37" s="38"/>
      <c r="M37" s="34">
        <f t="shared" si="23"/>
        <v>-113.85</v>
      </c>
      <c r="N37" s="58"/>
      <c r="O37" s="40"/>
      <c r="P37" s="36">
        <f t="shared" si="5"/>
        <v>0</v>
      </c>
      <c r="Q37" s="36">
        <f t="shared" si="8"/>
        <v>0.1</v>
      </c>
      <c r="R37" s="52" t="e">
        <f t="shared" si="6"/>
        <v>#N/A</v>
      </c>
      <c r="S37" s="52">
        <f t="shared" si="24"/>
        <v>1.5439627709707824</v>
      </c>
      <c r="T37" s="55">
        <f t="shared" si="25"/>
        <v>1.5439627709707824</v>
      </c>
      <c r="U37" s="24"/>
    </row>
    <row r="38" spans="1:28" x14ac:dyDescent="0.35">
      <c r="A38" s="22">
        <v>4</v>
      </c>
      <c r="B38" s="26"/>
      <c r="C38" s="22">
        <v>10</v>
      </c>
      <c r="D38" s="22">
        <v>14</v>
      </c>
      <c r="E38" s="47">
        <f t="shared" si="1"/>
        <v>12</v>
      </c>
      <c r="F38" s="38">
        <f t="shared" si="20"/>
        <v>128.25</v>
      </c>
      <c r="G38" s="38"/>
      <c r="H38" s="38"/>
      <c r="I38" s="34">
        <f t="shared" si="21"/>
        <v>-128.25</v>
      </c>
      <c r="J38" s="70">
        <f t="shared" si="3"/>
        <v>0</v>
      </c>
      <c r="K38" s="38">
        <f t="shared" si="22"/>
        <v>115.66</v>
      </c>
      <c r="L38" s="38"/>
      <c r="M38" s="34">
        <f t="shared" si="23"/>
        <v>-115.66</v>
      </c>
      <c r="N38" s="58"/>
      <c r="O38" s="40"/>
      <c r="P38" s="36">
        <f t="shared" si="5"/>
        <v>0</v>
      </c>
      <c r="Q38" s="36">
        <f t="shared" si="8"/>
        <v>0.1</v>
      </c>
      <c r="R38" s="52" t="e">
        <f t="shared" si="6"/>
        <v>#N/A</v>
      </c>
      <c r="S38" s="52">
        <f t="shared" si="24"/>
        <v>1.2132538915727329</v>
      </c>
      <c r="T38" s="55">
        <f t="shared" si="25"/>
        <v>1.2132538915727329</v>
      </c>
      <c r="U38" s="24"/>
    </row>
    <row r="39" spans="1:28" x14ac:dyDescent="0.35">
      <c r="A39" s="22">
        <v>5</v>
      </c>
      <c r="B39" s="26"/>
      <c r="C39" s="22">
        <v>14</v>
      </c>
      <c r="D39" s="22">
        <v>18</v>
      </c>
      <c r="E39" s="47">
        <f t="shared" si="1"/>
        <v>16</v>
      </c>
      <c r="F39" s="38">
        <f t="shared" si="20"/>
        <v>129.37</v>
      </c>
      <c r="G39" s="38"/>
      <c r="H39" s="38"/>
      <c r="I39" s="34">
        <f t="shared" si="21"/>
        <v>-129.37</v>
      </c>
      <c r="J39" s="70">
        <f t="shared" si="3"/>
        <v>0</v>
      </c>
      <c r="K39" s="38">
        <f t="shared" si="22"/>
        <v>114.92</v>
      </c>
      <c r="L39" s="38"/>
      <c r="M39" s="34">
        <f t="shared" si="23"/>
        <v>-114.92</v>
      </c>
      <c r="N39" s="58"/>
      <c r="O39" s="40"/>
      <c r="P39" s="36">
        <f t="shared" si="5"/>
        <v>0</v>
      </c>
      <c r="Q39" s="36">
        <f t="shared" si="8"/>
        <v>0.1</v>
      </c>
      <c r="R39" s="52" t="e">
        <f t="shared" si="6"/>
        <v>#N/A</v>
      </c>
      <c r="S39" s="52">
        <f t="shared" si="24"/>
        <v>0.91891478913922875</v>
      </c>
      <c r="T39" s="55">
        <f t="shared" si="25"/>
        <v>0.91891478913922875</v>
      </c>
      <c r="U39" s="24"/>
    </row>
    <row r="40" spans="1:28" x14ac:dyDescent="0.35">
      <c r="A40" s="22">
        <v>6</v>
      </c>
      <c r="B40" s="26"/>
      <c r="C40" s="22">
        <v>18</v>
      </c>
      <c r="D40" s="22">
        <v>22</v>
      </c>
      <c r="E40" s="47">
        <f t="shared" si="1"/>
        <v>20</v>
      </c>
      <c r="F40" s="38">
        <f t="shared" si="20"/>
        <v>116.36</v>
      </c>
      <c r="G40" s="38"/>
      <c r="H40" s="38"/>
      <c r="I40" s="34">
        <f t="shared" si="21"/>
        <v>-116.36</v>
      </c>
      <c r="J40" s="70">
        <f t="shared" si="3"/>
        <v>0</v>
      </c>
      <c r="K40" s="38">
        <f t="shared" si="22"/>
        <v>113.58</v>
      </c>
      <c r="L40" s="38"/>
      <c r="M40" s="34">
        <f t="shared" si="23"/>
        <v>-113.58</v>
      </c>
      <c r="N40" s="58"/>
      <c r="O40" s="40"/>
      <c r="P40" s="36">
        <f t="shared" si="5"/>
        <v>0</v>
      </c>
      <c r="Q40" s="36">
        <f t="shared" si="8"/>
        <v>0.1</v>
      </c>
      <c r="R40" s="52" t="e">
        <f t="shared" si="6"/>
        <v>#N/A</v>
      </c>
      <c r="S40" s="52">
        <f t="shared" si="24"/>
        <v>0.62513634311512323</v>
      </c>
      <c r="T40" s="55">
        <f t="shared" si="25"/>
        <v>0.62513634311512323</v>
      </c>
      <c r="U40" s="24"/>
    </row>
    <row r="41" spans="1:28" x14ac:dyDescent="0.35">
      <c r="A41" s="22">
        <v>7</v>
      </c>
      <c r="B41" s="26"/>
      <c r="C41" s="22">
        <v>22</v>
      </c>
      <c r="D41" s="22">
        <v>26</v>
      </c>
      <c r="E41" s="47">
        <f t="shared" si="1"/>
        <v>24</v>
      </c>
      <c r="F41" s="38">
        <f t="shared" si="20"/>
        <v>130.97</v>
      </c>
      <c r="G41" s="38"/>
      <c r="H41" s="38"/>
      <c r="I41" s="34">
        <f t="shared" si="21"/>
        <v>-130.97</v>
      </c>
      <c r="J41" s="70">
        <f t="shared" si="3"/>
        <v>0</v>
      </c>
      <c r="K41" s="38">
        <f t="shared" si="22"/>
        <v>112.46</v>
      </c>
      <c r="L41" s="38"/>
      <c r="M41" s="34">
        <f t="shared" si="23"/>
        <v>-112.46</v>
      </c>
      <c r="N41" s="58"/>
      <c r="O41" s="40"/>
      <c r="P41" s="36">
        <f t="shared" si="5"/>
        <v>0</v>
      </c>
      <c r="Q41" s="36">
        <f t="shared" si="8"/>
        <v>0.1</v>
      </c>
      <c r="R41" s="52" t="e">
        <f t="shared" si="6"/>
        <v>#N/A</v>
      </c>
      <c r="S41" s="52">
        <f t="shared" si="24"/>
        <v>0.25162549019607827</v>
      </c>
      <c r="T41" s="55">
        <f t="shared" si="25"/>
        <v>0.25162549019607827</v>
      </c>
      <c r="U41" s="24"/>
    </row>
    <row r="42" spans="1:28" x14ac:dyDescent="0.35">
      <c r="A42" s="22">
        <v>8</v>
      </c>
      <c r="B42" s="26"/>
      <c r="C42" s="22">
        <v>26</v>
      </c>
      <c r="D42" s="22">
        <v>30</v>
      </c>
      <c r="E42" s="47">
        <f t="shared" si="1"/>
        <v>28</v>
      </c>
      <c r="F42" s="38">
        <f t="shared" si="20"/>
        <v>125.85</v>
      </c>
      <c r="G42" s="38"/>
      <c r="H42" s="38"/>
      <c r="I42" s="34">
        <f t="shared" si="21"/>
        <v>-125.85</v>
      </c>
      <c r="J42" s="70">
        <f t="shared" si="3"/>
        <v>0</v>
      </c>
      <c r="K42" s="38">
        <f t="shared" si="22"/>
        <v>113.53</v>
      </c>
      <c r="L42" s="38"/>
      <c r="M42" s="34">
        <f t="shared" si="23"/>
        <v>-113.53</v>
      </c>
      <c r="N42" s="58"/>
      <c r="O42" s="40"/>
      <c r="P42" s="36">
        <f t="shared" si="5"/>
        <v>0</v>
      </c>
      <c r="Q42" s="36">
        <f t="shared" si="8"/>
        <v>0.1</v>
      </c>
      <c r="R42" s="52" t="e">
        <f t="shared" si="6"/>
        <v>#N/A</v>
      </c>
      <c r="S42" s="52">
        <f t="shared" si="24"/>
        <v>0.13411811722913025</v>
      </c>
      <c r="T42" s="55">
        <f t="shared" si="25"/>
        <v>0.13411811722913025</v>
      </c>
      <c r="U42" s="24"/>
    </row>
    <row r="43" spans="1:28" x14ac:dyDescent="0.35">
      <c r="E43" s="49"/>
      <c r="F43" s="37"/>
      <c r="G43" s="37"/>
      <c r="H43" s="37"/>
      <c r="I43" s="37"/>
      <c r="J43" s="71"/>
      <c r="K43" s="37"/>
      <c r="L43" s="37"/>
      <c r="M43" s="37"/>
      <c r="N43" s="60"/>
      <c r="O43"/>
      <c r="P43"/>
      <c r="Q43"/>
      <c r="T43" s="56"/>
      <c r="W43" s="24"/>
      <c r="X43" s="65" t="s">
        <v>76</v>
      </c>
    </row>
    <row r="44" spans="1:28" x14ac:dyDescent="0.35">
      <c r="A44" s="81" t="s">
        <v>84</v>
      </c>
      <c r="E44" s="49"/>
      <c r="F44" s="37"/>
      <c r="G44" s="37"/>
      <c r="H44" s="37"/>
      <c r="I44" s="37"/>
      <c r="J44" s="71"/>
      <c r="K44" s="37"/>
      <c r="L44" s="37"/>
      <c r="M44" s="37"/>
      <c r="N44" s="61"/>
      <c r="O44"/>
      <c r="P44"/>
      <c r="Q44"/>
      <c r="T44" s="56"/>
      <c r="W44" s="24">
        <f>0.5*AB$49*EXP((AB$46*AB$44*AB$48*E44/1000)/(2*AB$45*296*0.05))*(EXP(-AB$47*E44/1000)*ERFC((E44/1000-2*AB$47*AB$50*10^(-12)*24*3600)/(2*SQRT(AB$50*10^(-12)*24*3600)))+EXP(AB$47*E44/1000)*ERFC((E44/1000+2*AB$47*AB$50*10^(-12)*24*3600)/(2*SQRT(AB$50*10^(-12)*24*3600))))</f>
        <v>3.0114647133291843</v>
      </c>
      <c r="X44" s="60">
        <f>(W44-R44)^2</f>
        <v>9.0689197196268267</v>
      </c>
      <c r="Y44"/>
      <c r="Z44"/>
      <c r="AA44" s="65" t="s">
        <v>73</v>
      </c>
      <c r="AB44" s="65">
        <f>9.648*10^4</f>
        <v>96480</v>
      </c>
    </row>
    <row r="45" spans="1:28" x14ac:dyDescent="0.35">
      <c r="A45" s="22">
        <v>1</v>
      </c>
      <c r="B45" s="26">
        <v>45250</v>
      </c>
      <c r="C45" s="22">
        <v>0</v>
      </c>
      <c r="D45" s="22">
        <v>2</v>
      </c>
      <c r="E45" s="47">
        <f>AVERAGE(C45:D45)</f>
        <v>1</v>
      </c>
      <c r="F45" s="38">
        <f>F5</f>
        <v>112.4</v>
      </c>
      <c r="G45" s="38">
        <v>113.20099999999999</v>
      </c>
      <c r="H45" s="38">
        <v>113.06</v>
      </c>
      <c r="I45" s="34">
        <f>H45-F45</f>
        <v>0.65999999999999659</v>
      </c>
      <c r="J45" s="70">
        <f t="shared" si="3"/>
        <v>17.602996254680811</v>
      </c>
      <c r="K45" s="38">
        <f>K5</f>
        <v>111.08</v>
      </c>
      <c r="L45" s="38">
        <v>263.44200000000001</v>
      </c>
      <c r="M45" s="34">
        <f>L45-K45</f>
        <v>152.36200000000002</v>
      </c>
      <c r="N45" s="59">
        <v>5.0570000000000004</v>
      </c>
      <c r="O45" s="40">
        <v>123</v>
      </c>
      <c r="P45" s="36">
        <f t="shared" si="5"/>
        <v>0.50570000000000015</v>
      </c>
      <c r="Q45" s="36">
        <v>0</v>
      </c>
      <c r="R45" s="52">
        <f t="shared" si="6"/>
        <v>2.7162219696969849</v>
      </c>
      <c r="S45" s="52"/>
      <c r="T45" s="55"/>
      <c r="U45" s="24"/>
      <c r="W45" s="24">
        <f t="shared" ref="W45:W52" si="26">0.5*AB$49*EXP((AB$46*AB$44*AB$48*E45/1000)/(2*AB$45*296*0.05))*(EXP(-AB$47*E45/1000)*ERFC((E45/1000-2*AB$47*AB$50*10^(-12)*24*3600)/(2*SQRT(AB$50*10^(-12)*24*3600)))+EXP(AB$47*E45/1000)*ERFC((E45/1000+2*AB$47*AB$50*10^(-12)*24*3600)/(2*SQRT(AB$50*10^(-12)*24*3600))))</f>
        <v>2.7029127484134126</v>
      </c>
      <c r="X45" s="60">
        <f>(W45-R45)^2</f>
        <v>1.7713537117509576E-4</v>
      </c>
      <c r="AA45" t="s">
        <v>16</v>
      </c>
      <c r="AB45">
        <v>8.3140000000000001</v>
      </c>
    </row>
    <row r="46" spans="1:28" x14ac:dyDescent="0.35">
      <c r="A46" s="29">
        <v>2</v>
      </c>
      <c r="B46" s="26">
        <v>45250</v>
      </c>
      <c r="C46" s="22">
        <v>2</v>
      </c>
      <c r="D46" s="22">
        <v>6</v>
      </c>
      <c r="E46" s="50">
        <f t="shared" si="1"/>
        <v>4</v>
      </c>
      <c r="F46" s="38">
        <f t="shared" ref="F46:F52" si="27">F6</f>
        <v>113.498</v>
      </c>
      <c r="G46" s="39">
        <v>116.10299999999999</v>
      </c>
      <c r="H46" s="39">
        <v>115.56100000000001</v>
      </c>
      <c r="I46" s="35">
        <f t="shared" ref="I46:I52" si="28">H46-F46</f>
        <v>2.0630000000000024</v>
      </c>
      <c r="J46" s="70">
        <f t="shared" si="3"/>
        <v>20.806142034548543</v>
      </c>
      <c r="K46" s="38">
        <f t="shared" ref="K46:K52" si="29">K6</f>
        <v>113.29</v>
      </c>
      <c r="L46" s="39">
        <v>267.55399999999997</v>
      </c>
      <c r="M46" s="35">
        <f t="shared" ref="M46:M52" si="30">L46-K46</f>
        <v>154.26399999999995</v>
      </c>
      <c r="N46" s="59">
        <v>11.282999999999999</v>
      </c>
      <c r="O46" s="41">
        <v>97.1</v>
      </c>
      <c r="P46" s="36">
        <f t="shared" si="5"/>
        <v>1.1283000000000001</v>
      </c>
      <c r="Q46" s="36">
        <v>0</v>
      </c>
      <c r="R46" s="52">
        <f t="shared" si="6"/>
        <v>1.9388383422200657</v>
      </c>
      <c r="S46" s="52"/>
      <c r="T46" s="55"/>
      <c r="U46" s="24"/>
      <c r="W46" s="24">
        <f t="shared" si="26"/>
        <v>1.9543159227573859</v>
      </c>
      <c r="X46" s="60">
        <f t="shared" ref="X46:X47" si="31">(W46-R46)^2</f>
        <v>2.395554992892324E-4</v>
      </c>
      <c r="AA46" s="65" t="s">
        <v>74</v>
      </c>
      <c r="AB46" s="24">
        <v>1</v>
      </c>
    </row>
    <row r="47" spans="1:28" s="28" customFormat="1" x14ac:dyDescent="0.35">
      <c r="A47" s="29">
        <v>3</v>
      </c>
      <c r="B47" s="26">
        <v>45250</v>
      </c>
      <c r="C47" s="22">
        <v>6</v>
      </c>
      <c r="D47" s="22">
        <v>10</v>
      </c>
      <c r="E47" s="50">
        <f t="shared" si="1"/>
        <v>8</v>
      </c>
      <c r="F47" s="38">
        <f t="shared" si="27"/>
        <v>110.83199999999999</v>
      </c>
      <c r="G47" s="39">
        <v>112.745</v>
      </c>
      <c r="H47" s="39">
        <v>112.375</v>
      </c>
      <c r="I47" s="35">
        <f t="shared" si="28"/>
        <v>1.5430000000000064</v>
      </c>
      <c r="J47" s="70">
        <f t="shared" si="3"/>
        <v>19.341348667015286</v>
      </c>
      <c r="K47" s="38">
        <f t="shared" si="29"/>
        <v>113.85</v>
      </c>
      <c r="L47" s="39">
        <v>263.62400000000002</v>
      </c>
      <c r="M47" s="35">
        <f t="shared" si="30"/>
        <v>149.77400000000003</v>
      </c>
      <c r="N47" s="59">
        <v>5.4530000000000003</v>
      </c>
      <c r="O47" s="41">
        <v>69.2</v>
      </c>
      <c r="P47" s="36">
        <f t="shared" si="5"/>
        <v>0.54530000000000012</v>
      </c>
      <c r="Q47" s="36">
        <v>0</v>
      </c>
      <c r="R47" s="52">
        <f t="shared" si="6"/>
        <v>1.2528117303953288</v>
      </c>
      <c r="S47" s="52"/>
      <c r="T47" s="55"/>
      <c r="V47"/>
      <c r="W47" s="24">
        <f t="shared" si="26"/>
        <v>1.2682701241817798</v>
      </c>
      <c r="X47" s="60">
        <f t="shared" si="31"/>
        <v>2.389619384569861E-4</v>
      </c>
      <c r="Y47" s="24"/>
      <c r="Z47" s="24"/>
      <c r="AA47" s="65" t="s">
        <v>72</v>
      </c>
      <c r="AB47" s="68">
        <f>SQRT(((AB46*AB44*AB$48)/(2*AB45*296*0.05))^2+AB51/(AB50*10^(-12)))</f>
        <v>19710.33052838509</v>
      </c>
    </row>
    <row r="48" spans="1:28" x14ac:dyDescent="0.35">
      <c r="A48" s="29">
        <v>4</v>
      </c>
      <c r="B48" s="26">
        <v>45250</v>
      </c>
      <c r="C48" s="22">
        <v>10</v>
      </c>
      <c r="D48" s="22">
        <v>14</v>
      </c>
      <c r="E48" s="50">
        <f t="shared" si="1"/>
        <v>12</v>
      </c>
      <c r="F48" s="38">
        <f t="shared" si="27"/>
        <v>114.489</v>
      </c>
      <c r="G48" s="39">
        <v>117.029</v>
      </c>
      <c r="H48" s="39">
        <v>116.51300000000001</v>
      </c>
      <c r="I48" s="35">
        <f t="shared" si="28"/>
        <v>2.0240000000000009</v>
      </c>
      <c r="J48" s="70">
        <f t="shared" si="3"/>
        <v>20.314960629920975</v>
      </c>
      <c r="K48" s="38">
        <f t="shared" si="29"/>
        <v>115.66</v>
      </c>
      <c r="L48" s="39">
        <v>266.02999999999997</v>
      </c>
      <c r="M48" s="35">
        <f t="shared" si="30"/>
        <v>150.36999999999998</v>
      </c>
      <c r="N48" s="59">
        <v>4.6159999999999997</v>
      </c>
      <c r="O48" s="41">
        <v>133.9</v>
      </c>
      <c r="P48" s="36">
        <f t="shared" si="5"/>
        <v>0.46159999999999995</v>
      </c>
      <c r="Q48" s="36">
        <v>0</v>
      </c>
      <c r="R48" s="52">
        <f t="shared" si="6"/>
        <v>0.80848418972331981</v>
      </c>
      <c r="S48" s="52"/>
      <c r="T48" s="55"/>
      <c r="U48" s="24"/>
      <c r="W48" s="24">
        <f t="shared" si="26"/>
        <v>0.82305480355635441</v>
      </c>
      <c r="X48" s="60">
        <f>(W48-R48)^2</f>
        <v>2.1230278747141911E-4</v>
      </c>
      <c r="AA48" s="65" t="s">
        <v>75</v>
      </c>
      <c r="AB48" s="24">
        <v>50</v>
      </c>
    </row>
    <row r="49" spans="1:28" x14ac:dyDescent="0.35">
      <c r="A49" s="29">
        <v>5</v>
      </c>
      <c r="B49" s="26">
        <v>45250</v>
      </c>
      <c r="C49" s="22">
        <v>14</v>
      </c>
      <c r="D49" s="22">
        <v>18</v>
      </c>
      <c r="E49" s="50">
        <f t="shared" si="1"/>
        <v>16</v>
      </c>
      <c r="F49" s="38">
        <f t="shared" si="27"/>
        <v>106.87</v>
      </c>
      <c r="G49" s="39">
        <v>108.66500000000001</v>
      </c>
      <c r="H49" s="39">
        <v>108.33499999999999</v>
      </c>
      <c r="I49" s="35">
        <f t="shared" si="28"/>
        <v>1.4649999999999892</v>
      </c>
      <c r="J49" s="70">
        <f t="shared" si="3"/>
        <v>18.384401114206806</v>
      </c>
      <c r="K49" s="38">
        <f t="shared" si="29"/>
        <v>114.92</v>
      </c>
      <c r="L49" s="39">
        <v>263.536</v>
      </c>
      <c r="M49" s="35">
        <f t="shared" si="30"/>
        <v>148.61599999999999</v>
      </c>
      <c r="N49" s="59">
        <v>2.4590000000000001</v>
      </c>
      <c r="O49" s="41">
        <v>67.2</v>
      </c>
      <c r="P49" s="36">
        <f t="shared" si="5"/>
        <v>0.24590000000000001</v>
      </c>
      <c r="Q49" s="36">
        <v>0</v>
      </c>
      <c r="R49" s="52">
        <f t="shared" si="6"/>
        <v>0.59502764505119898</v>
      </c>
      <c r="S49" s="52"/>
      <c r="T49" s="55"/>
      <c r="U49" s="24"/>
      <c r="W49" s="24">
        <f t="shared" si="26"/>
        <v>0.53412849261443063</v>
      </c>
      <c r="X49" s="60">
        <f t="shared" ref="X49:X52" si="32">(W49-R49)^2</f>
        <v>3.7087067675167494E-3</v>
      </c>
      <c r="AA49" s="65" t="s">
        <v>69</v>
      </c>
      <c r="AB49" s="37">
        <v>3.0114647133291843</v>
      </c>
    </row>
    <row r="50" spans="1:28" s="28" customFormat="1" x14ac:dyDescent="0.35">
      <c r="A50" s="29">
        <v>6</v>
      </c>
      <c r="B50" s="26">
        <v>45250</v>
      </c>
      <c r="C50" s="22">
        <v>18</v>
      </c>
      <c r="D50" s="22">
        <v>22</v>
      </c>
      <c r="E50" s="50">
        <f t="shared" si="1"/>
        <v>20</v>
      </c>
      <c r="F50" s="38">
        <f t="shared" si="27"/>
        <v>105.83799999999999</v>
      </c>
      <c r="G50" s="39">
        <v>108.154</v>
      </c>
      <c r="H50" s="39">
        <v>107.732</v>
      </c>
      <c r="I50" s="35">
        <f t="shared" si="28"/>
        <v>1.8940000000000055</v>
      </c>
      <c r="J50" s="70">
        <f t="shared" si="3"/>
        <v>18.221070811744241</v>
      </c>
      <c r="K50" s="38">
        <f t="shared" si="29"/>
        <v>113.58</v>
      </c>
      <c r="L50" s="39">
        <v>265.65199999999999</v>
      </c>
      <c r="M50" s="35">
        <f t="shared" si="30"/>
        <v>152.072</v>
      </c>
      <c r="N50" s="59">
        <v>1.756</v>
      </c>
      <c r="O50" s="41">
        <v>51.7</v>
      </c>
      <c r="P50" s="36">
        <f t="shared" si="5"/>
        <v>0.17560000000000001</v>
      </c>
      <c r="Q50" s="36">
        <v>0</v>
      </c>
      <c r="R50" s="52">
        <f t="shared" si="6"/>
        <v>0.32867053854276573</v>
      </c>
      <c r="S50" s="52"/>
      <c r="T50" s="55"/>
      <c r="V50"/>
      <c r="W50" s="24">
        <f t="shared" si="26"/>
        <v>0.34662555664431521</v>
      </c>
      <c r="X50" s="60">
        <f t="shared" si="32"/>
        <v>3.2238267502696951E-4</v>
      </c>
      <c r="Y50" s="24"/>
      <c r="Z50" s="24"/>
      <c r="AA50" s="65" t="s">
        <v>70</v>
      </c>
      <c r="AB50" s="66">
        <v>7.3323772622699472</v>
      </c>
    </row>
    <row r="51" spans="1:28" x14ac:dyDescent="0.35">
      <c r="A51" s="29">
        <v>7</v>
      </c>
      <c r="B51" s="26">
        <v>45250</v>
      </c>
      <c r="C51" s="22">
        <v>22</v>
      </c>
      <c r="D51" s="22">
        <v>26</v>
      </c>
      <c r="E51" s="50">
        <f t="shared" si="1"/>
        <v>24</v>
      </c>
      <c r="F51" s="38">
        <f t="shared" si="27"/>
        <v>97.635000000000005</v>
      </c>
      <c r="G51" s="39">
        <v>100</v>
      </c>
      <c r="H51" s="39">
        <v>99.540999999999997</v>
      </c>
      <c r="I51" s="35">
        <f t="shared" si="28"/>
        <v>1.9059999999999917</v>
      </c>
      <c r="J51" s="70">
        <f t="shared" si="3"/>
        <v>19.408033826638654</v>
      </c>
      <c r="K51" s="38">
        <f t="shared" si="29"/>
        <v>112.46</v>
      </c>
      <c r="L51" s="39">
        <v>265.31099999999998</v>
      </c>
      <c r="M51" s="35">
        <f t="shared" si="30"/>
        <v>152.851</v>
      </c>
      <c r="N51" s="59">
        <v>0.96099999999999997</v>
      </c>
      <c r="O51" s="41">
        <v>95.4</v>
      </c>
      <c r="P51" s="36">
        <f t="shared" si="5"/>
        <v>9.6100000000000005E-2</v>
      </c>
      <c r="Q51" s="36">
        <v>0</v>
      </c>
      <c r="R51" s="52">
        <f t="shared" si="6"/>
        <v>0.17873793284365244</v>
      </c>
      <c r="S51" s="52"/>
      <c r="T51" s="55"/>
      <c r="U51" s="24"/>
      <c r="W51" s="24">
        <f t="shared" si="26"/>
        <v>0.18141561519710722</v>
      </c>
      <c r="X51" s="60">
        <f t="shared" si="32"/>
        <v>7.1699827860031298E-6</v>
      </c>
      <c r="AA51" s="65" t="s">
        <v>71</v>
      </c>
      <c r="AB51" s="67">
        <v>3.1159334000204329E-5</v>
      </c>
    </row>
    <row r="52" spans="1:28" x14ac:dyDescent="0.35">
      <c r="A52" s="22">
        <v>8</v>
      </c>
      <c r="B52" s="26">
        <v>45250</v>
      </c>
      <c r="C52" s="22">
        <v>26</v>
      </c>
      <c r="D52" s="22">
        <v>30</v>
      </c>
      <c r="E52" s="47">
        <f t="shared" si="1"/>
        <v>28</v>
      </c>
      <c r="F52" s="38">
        <f t="shared" si="27"/>
        <v>119.703</v>
      </c>
      <c r="G52" s="38">
        <v>121.91500000000001</v>
      </c>
      <c r="H52" s="38">
        <v>121.483</v>
      </c>
      <c r="I52" s="34">
        <f t="shared" si="28"/>
        <v>1.7800000000000011</v>
      </c>
      <c r="J52" s="70">
        <f t="shared" si="3"/>
        <v>19.529837251356309</v>
      </c>
      <c r="K52" s="38">
        <f t="shared" si="29"/>
        <v>113.53</v>
      </c>
      <c r="L52" s="38">
        <v>263.03100000000001</v>
      </c>
      <c r="M52" s="34">
        <f t="shared" si="30"/>
        <v>149.501</v>
      </c>
      <c r="N52" s="58">
        <v>1.494</v>
      </c>
      <c r="O52" s="40">
        <v>118.2</v>
      </c>
      <c r="P52" s="36">
        <f t="shared" si="5"/>
        <v>0.14940000000000003</v>
      </c>
      <c r="Q52" s="36">
        <f t="shared" si="8"/>
        <v>0.1</v>
      </c>
      <c r="R52" s="52">
        <f t="shared" si="6"/>
        <v>9.8383707865168535E-2</v>
      </c>
      <c r="S52" s="52"/>
      <c r="T52" s="55"/>
      <c r="U52" s="24"/>
      <c r="W52" s="24">
        <f t="shared" si="26"/>
        <v>5.2377129728335215E-4</v>
      </c>
      <c r="X52" s="60">
        <f t="shared" si="32"/>
        <v>9.5765671850705104E-3</v>
      </c>
    </row>
    <row r="53" spans="1:28" x14ac:dyDescent="0.35">
      <c r="E53" s="49"/>
      <c r="F53" s="37"/>
      <c r="G53" s="37"/>
      <c r="H53" s="37"/>
      <c r="I53" s="37"/>
      <c r="J53" s="71"/>
      <c r="K53" s="37"/>
      <c r="L53" s="37"/>
      <c r="M53" s="37"/>
      <c r="N53" s="60"/>
      <c r="O53"/>
      <c r="P53"/>
      <c r="Q53"/>
      <c r="T53" s="56"/>
      <c r="W53" s="24"/>
      <c r="X53" s="69">
        <f>SUM(X45:X52)</f>
        <v>1.4482782206792966E-2</v>
      </c>
      <c r="Y53"/>
      <c r="Z53"/>
      <c r="AA53"/>
      <c r="AB53"/>
    </row>
    <row r="54" spans="1:28" x14ac:dyDescent="0.35">
      <c r="A54" s="81" t="s">
        <v>85</v>
      </c>
      <c r="E54" s="49"/>
      <c r="F54" s="37"/>
      <c r="G54" s="37"/>
      <c r="H54" s="37"/>
      <c r="I54" s="37"/>
      <c r="J54" s="71"/>
      <c r="K54" s="37"/>
      <c r="L54" s="37"/>
      <c r="M54" s="37"/>
      <c r="N54" s="61"/>
      <c r="O54"/>
      <c r="P54"/>
      <c r="Q54"/>
      <c r="T54" s="56" t="s">
        <v>65</v>
      </c>
    </row>
    <row r="55" spans="1:28" x14ac:dyDescent="0.35">
      <c r="A55" s="22">
        <v>1</v>
      </c>
      <c r="B55" s="26"/>
      <c r="C55" s="22">
        <v>0</v>
      </c>
      <c r="D55" s="22">
        <v>2</v>
      </c>
      <c r="E55" s="47">
        <f t="shared" si="1"/>
        <v>1</v>
      </c>
      <c r="F55" s="38">
        <f>F15</f>
        <v>129.30000000000001</v>
      </c>
      <c r="G55" s="38"/>
      <c r="H55" s="38"/>
      <c r="I55" s="34">
        <f>H55-F55</f>
        <v>-129.30000000000001</v>
      </c>
      <c r="J55" s="70">
        <f t="shared" si="3"/>
        <v>0</v>
      </c>
      <c r="K55" s="38">
        <f>K5</f>
        <v>111.08</v>
      </c>
      <c r="L55" s="38"/>
      <c r="M55" s="34">
        <f>L55-K55</f>
        <v>-111.08</v>
      </c>
      <c r="N55" s="59"/>
      <c r="O55" s="40"/>
      <c r="P55" s="36">
        <f t="shared" si="5"/>
        <v>0</v>
      </c>
      <c r="Q55" s="36">
        <f t="shared" si="8"/>
        <v>0.1</v>
      </c>
      <c r="R55" s="52" t="e">
        <f t="shared" si="6"/>
        <v>#N/A</v>
      </c>
      <c r="S55" s="52">
        <f>R45</f>
        <v>2.7162219696969849</v>
      </c>
      <c r="T55" s="55">
        <f>IF(S55="#N/A",NA(),AVERAGEIF(R55:S55,"&lt;&gt;#N/A"))</f>
        <v>2.7162219696969849</v>
      </c>
      <c r="U55" s="24"/>
    </row>
    <row r="56" spans="1:28" x14ac:dyDescent="0.35">
      <c r="A56" s="22">
        <v>2</v>
      </c>
      <c r="B56" s="26"/>
      <c r="C56" s="22">
        <v>2</v>
      </c>
      <c r="D56" s="22">
        <v>6</v>
      </c>
      <c r="E56" s="47">
        <f t="shared" si="1"/>
        <v>4</v>
      </c>
      <c r="F56" s="38">
        <f t="shared" ref="F56:F62" si="33">F16</f>
        <v>131.88</v>
      </c>
      <c r="G56" s="38"/>
      <c r="H56" s="38"/>
      <c r="I56" s="34">
        <f t="shared" ref="I56:I62" si="34">H56-F56</f>
        <v>-131.88</v>
      </c>
      <c r="J56" s="70">
        <f t="shared" si="3"/>
        <v>0</v>
      </c>
      <c r="K56" s="38">
        <f t="shared" ref="K56:K62" si="35">K6</f>
        <v>113.29</v>
      </c>
      <c r="L56" s="38"/>
      <c r="M56" s="34">
        <f t="shared" ref="M56:M62" si="36">L56-K56</f>
        <v>-113.29</v>
      </c>
      <c r="N56" s="59"/>
      <c r="O56" s="40"/>
      <c r="P56" s="36">
        <f t="shared" si="5"/>
        <v>0</v>
      </c>
      <c r="Q56" s="36">
        <f t="shared" si="8"/>
        <v>0.1</v>
      </c>
      <c r="R56" s="52" t="e">
        <f t="shared" si="6"/>
        <v>#N/A</v>
      </c>
      <c r="S56" s="52">
        <f t="shared" ref="S56:S62" si="37">R46</f>
        <v>1.9388383422200657</v>
      </c>
      <c r="T56" s="55">
        <f t="shared" ref="T56:T62" si="38">IF(S56="#N/A",NA(),AVERAGEIF(R56:S56,"&lt;&gt;#N/A"))</f>
        <v>1.9388383422200657</v>
      </c>
      <c r="U56" s="24"/>
    </row>
    <row r="57" spans="1:28" s="31" customFormat="1" x14ac:dyDescent="0.35">
      <c r="A57" s="29">
        <v>3</v>
      </c>
      <c r="B57" s="30"/>
      <c r="C57" s="22">
        <v>6</v>
      </c>
      <c r="D57" s="22">
        <v>10</v>
      </c>
      <c r="E57" s="47">
        <f t="shared" si="1"/>
        <v>8</v>
      </c>
      <c r="F57" s="38">
        <f t="shared" si="33"/>
        <v>130.72</v>
      </c>
      <c r="G57" s="39"/>
      <c r="H57" s="39"/>
      <c r="I57" s="35">
        <f t="shared" si="34"/>
        <v>-130.72</v>
      </c>
      <c r="J57" s="70">
        <f t="shared" si="3"/>
        <v>0</v>
      </c>
      <c r="K57" s="38">
        <f t="shared" si="35"/>
        <v>113.85</v>
      </c>
      <c r="L57" s="39"/>
      <c r="M57" s="35">
        <f t="shared" si="36"/>
        <v>-113.85</v>
      </c>
      <c r="N57" s="59"/>
      <c r="O57" s="41"/>
      <c r="P57" s="36">
        <f t="shared" si="5"/>
        <v>0</v>
      </c>
      <c r="Q57" s="36">
        <f t="shared" si="8"/>
        <v>0.1</v>
      </c>
      <c r="R57" s="52" t="e">
        <f t="shared" si="6"/>
        <v>#N/A</v>
      </c>
      <c r="S57" s="52">
        <f t="shared" si="37"/>
        <v>1.2528117303953288</v>
      </c>
      <c r="T57" s="55">
        <f t="shared" si="38"/>
        <v>1.2528117303953288</v>
      </c>
      <c r="V57"/>
      <c r="W57"/>
    </row>
    <row r="58" spans="1:28" x14ac:dyDescent="0.35">
      <c r="A58" s="22">
        <v>4</v>
      </c>
      <c r="B58" s="26"/>
      <c r="C58" s="22">
        <v>10</v>
      </c>
      <c r="D58" s="22">
        <v>14</v>
      </c>
      <c r="E58" s="47">
        <f t="shared" si="1"/>
        <v>12</v>
      </c>
      <c r="F58" s="38">
        <f t="shared" si="33"/>
        <v>128.25</v>
      </c>
      <c r="G58" s="38"/>
      <c r="H58" s="38"/>
      <c r="I58" s="34">
        <f t="shared" si="34"/>
        <v>-128.25</v>
      </c>
      <c r="J58" s="70">
        <f t="shared" si="3"/>
        <v>0</v>
      </c>
      <c r="K58" s="38">
        <f t="shared" si="35"/>
        <v>115.66</v>
      </c>
      <c r="L58" s="38"/>
      <c r="M58" s="34">
        <f t="shared" si="36"/>
        <v>-115.66</v>
      </c>
      <c r="N58" s="58"/>
      <c r="O58" s="40"/>
      <c r="P58" s="36">
        <f t="shared" si="5"/>
        <v>0</v>
      </c>
      <c r="Q58" s="36">
        <f t="shared" si="8"/>
        <v>0.1</v>
      </c>
      <c r="R58" s="52" t="e">
        <f t="shared" si="6"/>
        <v>#N/A</v>
      </c>
      <c r="S58" s="52">
        <f t="shared" si="37"/>
        <v>0.80848418972331981</v>
      </c>
      <c r="T58" s="55">
        <f t="shared" si="38"/>
        <v>0.80848418972331981</v>
      </c>
      <c r="U58" s="24"/>
    </row>
    <row r="59" spans="1:28" x14ac:dyDescent="0.35">
      <c r="A59" s="22">
        <v>5</v>
      </c>
      <c r="B59" s="26"/>
      <c r="C59" s="22">
        <v>14</v>
      </c>
      <c r="D59" s="22">
        <v>18</v>
      </c>
      <c r="E59" s="47">
        <f t="shared" si="1"/>
        <v>16</v>
      </c>
      <c r="F59" s="38">
        <f t="shared" si="33"/>
        <v>129.37</v>
      </c>
      <c r="G59" s="38"/>
      <c r="H59" s="38"/>
      <c r="I59" s="34">
        <f t="shared" si="34"/>
        <v>-129.37</v>
      </c>
      <c r="J59" s="70">
        <f t="shared" si="3"/>
        <v>0</v>
      </c>
      <c r="K59" s="38">
        <f t="shared" si="35"/>
        <v>114.92</v>
      </c>
      <c r="L59" s="38"/>
      <c r="M59" s="34">
        <f t="shared" si="36"/>
        <v>-114.92</v>
      </c>
      <c r="N59" s="58"/>
      <c r="O59" s="40"/>
      <c r="P59" s="36">
        <f t="shared" si="5"/>
        <v>0</v>
      </c>
      <c r="Q59" s="36">
        <f t="shared" si="8"/>
        <v>0.1</v>
      </c>
      <c r="R59" s="52" t="e">
        <f t="shared" si="6"/>
        <v>#N/A</v>
      </c>
      <c r="S59" s="52">
        <f t="shared" si="37"/>
        <v>0.59502764505119898</v>
      </c>
      <c r="T59" s="55">
        <f t="shared" si="38"/>
        <v>0.59502764505119898</v>
      </c>
      <c r="U59" s="24"/>
    </row>
    <row r="60" spans="1:28" s="31" customFormat="1" x14ac:dyDescent="0.35">
      <c r="A60" s="29">
        <v>6</v>
      </c>
      <c r="B60" s="30"/>
      <c r="C60" s="22">
        <v>18</v>
      </c>
      <c r="D60" s="22">
        <v>22</v>
      </c>
      <c r="E60" s="47">
        <f t="shared" si="1"/>
        <v>20</v>
      </c>
      <c r="F60" s="38">
        <f t="shared" si="33"/>
        <v>116.36</v>
      </c>
      <c r="G60" s="39"/>
      <c r="H60" s="39"/>
      <c r="I60" s="35">
        <f t="shared" si="34"/>
        <v>-116.36</v>
      </c>
      <c r="J60" s="70">
        <f t="shared" si="3"/>
        <v>0</v>
      </c>
      <c r="K60" s="38">
        <f t="shared" si="35"/>
        <v>113.58</v>
      </c>
      <c r="L60" s="39"/>
      <c r="M60" s="35">
        <f t="shared" si="36"/>
        <v>-113.58</v>
      </c>
      <c r="N60" s="59"/>
      <c r="O60" s="41"/>
      <c r="P60" s="36">
        <f t="shared" si="5"/>
        <v>0</v>
      </c>
      <c r="Q60" s="36">
        <f t="shared" si="8"/>
        <v>0.1</v>
      </c>
      <c r="R60" s="52" t="e">
        <f t="shared" si="6"/>
        <v>#N/A</v>
      </c>
      <c r="S60" s="52">
        <f t="shared" si="37"/>
        <v>0.32867053854276573</v>
      </c>
      <c r="T60" s="55">
        <f t="shared" si="38"/>
        <v>0.32867053854276573</v>
      </c>
      <c r="V60"/>
      <c r="W60"/>
    </row>
    <row r="61" spans="1:28" x14ac:dyDescent="0.35">
      <c r="A61" s="22">
        <v>7</v>
      </c>
      <c r="B61" s="26"/>
      <c r="C61" s="22">
        <v>22</v>
      </c>
      <c r="D61" s="22">
        <v>26</v>
      </c>
      <c r="E61" s="47">
        <f t="shared" si="1"/>
        <v>24</v>
      </c>
      <c r="F61" s="38">
        <f t="shared" si="33"/>
        <v>130.97</v>
      </c>
      <c r="G61" s="38"/>
      <c r="H61" s="38"/>
      <c r="I61" s="34">
        <f t="shared" si="34"/>
        <v>-130.97</v>
      </c>
      <c r="J61" s="70">
        <f t="shared" si="3"/>
        <v>0</v>
      </c>
      <c r="K61" s="38">
        <f t="shared" si="35"/>
        <v>112.46</v>
      </c>
      <c r="L61" s="38"/>
      <c r="M61" s="34">
        <f t="shared" si="36"/>
        <v>-112.46</v>
      </c>
      <c r="N61" s="58"/>
      <c r="O61" s="40"/>
      <c r="P61" s="36">
        <f t="shared" si="5"/>
        <v>0</v>
      </c>
      <c r="Q61" s="36">
        <f t="shared" si="8"/>
        <v>0.1</v>
      </c>
      <c r="R61" s="52" t="e">
        <f t="shared" si="6"/>
        <v>#N/A</v>
      </c>
      <c r="S61" s="52">
        <f t="shared" si="37"/>
        <v>0.17873793284365244</v>
      </c>
      <c r="T61" s="55">
        <f t="shared" si="38"/>
        <v>0.17873793284365244</v>
      </c>
      <c r="U61" s="24"/>
    </row>
    <row r="62" spans="1:28" x14ac:dyDescent="0.35">
      <c r="A62" s="22">
        <v>8</v>
      </c>
      <c r="B62" s="26"/>
      <c r="C62" s="22">
        <v>26</v>
      </c>
      <c r="D62" s="22">
        <v>30</v>
      </c>
      <c r="E62" s="47">
        <f t="shared" si="1"/>
        <v>28</v>
      </c>
      <c r="F62" s="38">
        <f t="shared" si="33"/>
        <v>125.85</v>
      </c>
      <c r="G62" s="38"/>
      <c r="H62" s="38"/>
      <c r="I62" s="34">
        <f t="shared" si="34"/>
        <v>-125.85</v>
      </c>
      <c r="J62" s="70">
        <f t="shared" si="3"/>
        <v>0</v>
      </c>
      <c r="K62" s="38">
        <f t="shared" si="35"/>
        <v>113.53</v>
      </c>
      <c r="L62" s="38"/>
      <c r="M62" s="34">
        <f t="shared" si="36"/>
        <v>-113.53</v>
      </c>
      <c r="N62" s="58"/>
      <c r="O62" s="40"/>
      <c r="P62" s="36">
        <f t="shared" si="5"/>
        <v>0</v>
      </c>
      <c r="Q62" s="36">
        <f t="shared" si="8"/>
        <v>0.1</v>
      </c>
      <c r="R62" s="52" t="e">
        <f t="shared" si="6"/>
        <v>#N/A</v>
      </c>
      <c r="S62" s="52">
        <f t="shared" si="37"/>
        <v>9.8383707865168535E-2</v>
      </c>
      <c r="T62" s="55">
        <f t="shared" si="38"/>
        <v>9.8383707865168535E-2</v>
      </c>
      <c r="U62" s="24"/>
    </row>
    <row r="63" spans="1:28" x14ac:dyDescent="0.35">
      <c r="J63"/>
      <c r="Q63"/>
    </row>
    <row r="64" spans="1:28" x14ac:dyDescent="0.35">
      <c r="J64"/>
      <c r="Q64"/>
    </row>
    <row r="65" spans="17:17" x14ac:dyDescent="0.35">
      <c r="Q65"/>
    </row>
  </sheetData>
  <mergeCells count="19">
    <mergeCell ref="O1:O2"/>
    <mergeCell ref="P1:P2"/>
    <mergeCell ref="Q1:Q2"/>
    <mergeCell ref="R1:R2"/>
    <mergeCell ref="T1:T2"/>
    <mergeCell ref="S1:S2"/>
    <mergeCell ref="N1:N2"/>
    <mergeCell ref="A1:A2"/>
    <mergeCell ref="B1:B2"/>
    <mergeCell ref="C1:D1"/>
    <mergeCell ref="E1:E2"/>
    <mergeCell ref="F1:F2"/>
    <mergeCell ref="G1:G2"/>
    <mergeCell ref="H1:H2"/>
    <mergeCell ref="I1:I2"/>
    <mergeCell ref="K1:K2"/>
    <mergeCell ref="L1:L2"/>
    <mergeCell ref="M1:M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59839-979B-4AA3-AD48-B3CED4D26C79}">
  <dimension ref="A1:X65"/>
  <sheetViews>
    <sheetView zoomScale="85" zoomScaleNormal="85" workbookViewId="0">
      <pane xSplit="1" ySplit="2" topLeftCell="E3" activePane="bottomRight" state="frozen"/>
      <selection activeCell="I13" sqref="I13"/>
      <selection pane="topRight" activeCell="I13" sqref="I13"/>
      <selection pane="bottomLeft" activeCell="I13" sqref="I13"/>
      <selection pane="bottomRight" activeCell="A55" sqref="A55"/>
    </sheetView>
  </sheetViews>
  <sheetFormatPr defaultColWidth="10.58203125" defaultRowHeight="14.5" x14ac:dyDescent="0.35"/>
  <cols>
    <col min="1" max="1" width="13.5" style="24" bestFit="1" customWidth="1"/>
    <col min="2" max="2" width="16" style="24" customWidth="1"/>
    <col min="3" max="3" width="13.5" style="24" customWidth="1"/>
    <col min="4" max="4" width="13.25" style="24" customWidth="1"/>
    <col min="5" max="5" width="16.5" style="25" customWidth="1"/>
    <col min="6" max="6" width="15.75" style="24" customWidth="1"/>
    <col min="7" max="7" width="15" style="24" customWidth="1"/>
    <col min="8" max="8" width="15.25" style="24" customWidth="1"/>
    <col min="9" max="10" width="16.5" style="24" customWidth="1"/>
    <col min="11" max="11" width="17.08203125" style="24" customWidth="1"/>
    <col min="12" max="12" width="16.25" style="24" customWidth="1"/>
    <col min="13" max="13" width="13.5" style="24" customWidth="1"/>
    <col min="14" max="15" width="11.75" style="24" customWidth="1"/>
    <col min="16" max="17" width="15.75" style="24" customWidth="1"/>
    <col min="18" max="19" width="12.75" style="44" customWidth="1"/>
    <col min="20" max="20" width="17" style="45" customWidth="1"/>
    <col min="21" max="21" width="10.58203125" style="44"/>
    <col min="22" max="16384" width="10.58203125" style="24"/>
  </cols>
  <sheetData>
    <row r="1" spans="1:24" ht="36" customHeight="1" x14ac:dyDescent="0.35">
      <c r="A1" s="76" t="s">
        <v>29</v>
      </c>
      <c r="B1" s="76" t="s">
        <v>26</v>
      </c>
      <c r="C1" s="75" t="s">
        <v>35</v>
      </c>
      <c r="D1" s="75"/>
      <c r="E1" s="75" t="s">
        <v>34</v>
      </c>
      <c r="F1" s="75" t="s">
        <v>33</v>
      </c>
      <c r="G1" s="75" t="s">
        <v>32</v>
      </c>
      <c r="H1" s="75" t="s">
        <v>31</v>
      </c>
      <c r="I1" s="75" t="s">
        <v>30</v>
      </c>
      <c r="J1" s="75" t="s">
        <v>77</v>
      </c>
      <c r="K1" s="75" t="s">
        <v>36</v>
      </c>
      <c r="L1" s="75" t="s">
        <v>37</v>
      </c>
      <c r="M1" s="75" t="s">
        <v>38</v>
      </c>
      <c r="N1" s="75" t="s">
        <v>40</v>
      </c>
      <c r="O1" s="75" t="s">
        <v>39</v>
      </c>
      <c r="P1" s="75" t="s">
        <v>41</v>
      </c>
      <c r="Q1" s="78" t="s">
        <v>42</v>
      </c>
      <c r="R1" s="77" t="s">
        <v>43</v>
      </c>
      <c r="S1" s="78"/>
      <c r="T1" s="80" t="s">
        <v>48</v>
      </c>
      <c r="U1" s="24"/>
    </row>
    <row r="2" spans="1:24" x14ac:dyDescent="0.35">
      <c r="A2" s="76"/>
      <c r="B2" s="76"/>
      <c r="C2" s="23" t="s">
        <v>27</v>
      </c>
      <c r="D2" s="23" t="s">
        <v>28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9"/>
      <c r="R2" s="77"/>
      <c r="S2" s="79"/>
      <c r="T2" s="80"/>
      <c r="U2" s="24"/>
    </row>
    <row r="3" spans="1:24" x14ac:dyDescent="0.35">
      <c r="A3" s="32"/>
      <c r="B3" s="32"/>
      <c r="C3" s="32"/>
      <c r="D3" s="32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V3" s="20" t="s">
        <v>51</v>
      </c>
    </row>
    <row r="4" spans="1:24" s="44" customFormat="1" x14ac:dyDescent="0.35">
      <c r="A4" s="81" t="s">
        <v>98</v>
      </c>
      <c r="T4" s="45"/>
      <c r="V4" s="21" t="s">
        <v>44</v>
      </c>
      <c r="W4" s="43">
        <v>5.4294895158584797</v>
      </c>
      <c r="X4" s="24"/>
    </row>
    <row r="5" spans="1:24" x14ac:dyDescent="0.35">
      <c r="A5" s="22">
        <v>1</v>
      </c>
      <c r="B5" s="26">
        <v>45365</v>
      </c>
      <c r="C5" s="22">
        <v>0</v>
      </c>
      <c r="D5" s="22">
        <v>2</v>
      </c>
      <c r="E5" s="47">
        <f>AVERAGE(C5:D5)</f>
        <v>1</v>
      </c>
      <c r="F5" s="38">
        <v>114.43</v>
      </c>
      <c r="G5" s="38">
        <v>115.08</v>
      </c>
      <c r="H5" s="38">
        <v>114.96</v>
      </c>
      <c r="I5" s="34">
        <f>H5-F5</f>
        <v>0.52999999999998693</v>
      </c>
      <c r="J5" s="70">
        <f>100*(G5-H5)/(G5-F5)</f>
        <v>18.461538461539405</v>
      </c>
      <c r="K5" s="38">
        <v>105.83</v>
      </c>
      <c r="L5" s="38">
        <v>251.29</v>
      </c>
      <c r="M5" s="34">
        <f>L5-K5</f>
        <v>145.45999999999998</v>
      </c>
      <c r="N5" s="58">
        <v>8.5990000000000002</v>
      </c>
      <c r="O5" s="40">
        <v>107.7</v>
      </c>
      <c r="P5" s="36">
        <f>((N5/1000)*0.1)*1000</f>
        <v>0.85990000000000011</v>
      </c>
      <c r="Q5" s="36">
        <v>0</v>
      </c>
      <c r="R5" s="52">
        <f>IF(ISBLANK(N5),NA(),100*((P5-Q5)/1000)*35.45/I5)</f>
        <v>5.7515952830190109</v>
      </c>
      <c r="S5" s="52"/>
      <c r="T5" s="55"/>
      <c r="U5" s="24"/>
      <c r="V5" s="21" t="s">
        <v>45</v>
      </c>
      <c r="W5" s="21">
        <v>0</v>
      </c>
    </row>
    <row r="6" spans="1:24" x14ac:dyDescent="0.35">
      <c r="A6" s="22">
        <v>2</v>
      </c>
      <c r="B6" s="26">
        <v>45365</v>
      </c>
      <c r="C6" s="22">
        <v>2</v>
      </c>
      <c r="D6" s="22">
        <v>6</v>
      </c>
      <c r="E6" s="47">
        <f t="shared" ref="E6:E62" si="0">AVERAGE(C6:D6)</f>
        <v>4</v>
      </c>
      <c r="F6" s="38">
        <v>113.69</v>
      </c>
      <c r="G6" s="38">
        <v>116.35</v>
      </c>
      <c r="H6" s="38">
        <v>115.92</v>
      </c>
      <c r="I6" s="34">
        <f t="shared" ref="I6:I12" si="1">H6-F6</f>
        <v>2.230000000000004</v>
      </c>
      <c r="J6" s="70">
        <f t="shared" ref="J6:J62" si="2">100*(G6-H6)/(G6-F6)</f>
        <v>16.165413533834329</v>
      </c>
      <c r="K6" s="38">
        <v>97.09</v>
      </c>
      <c r="L6" s="38">
        <v>251.22</v>
      </c>
      <c r="M6" s="34">
        <f t="shared" ref="M6:M12" si="3">L6-K6</f>
        <v>154.13</v>
      </c>
      <c r="N6" s="58">
        <v>20.928000000000001</v>
      </c>
      <c r="O6" s="40">
        <v>6.1</v>
      </c>
      <c r="P6" s="36">
        <f t="shared" ref="P6:P62" si="4">((N6/1000)*0.1)*1000</f>
        <v>2.0928</v>
      </c>
      <c r="Q6" s="36">
        <v>0</v>
      </c>
      <c r="R6" s="52">
        <f t="shared" ref="R6:R62" si="5">IF(ISBLANK(N6),NA(),100*((P6-Q6)/1000)*35.45/I6)</f>
        <v>3.326895067264569</v>
      </c>
      <c r="S6" s="52"/>
      <c r="T6" s="55"/>
      <c r="U6" s="24"/>
      <c r="V6" s="27" t="s">
        <v>47</v>
      </c>
      <c r="W6" s="64">
        <v>4.5188011574776166</v>
      </c>
    </row>
    <row r="7" spans="1:24" x14ac:dyDescent="0.35">
      <c r="A7" s="22">
        <v>3</v>
      </c>
      <c r="B7" s="26">
        <v>45365</v>
      </c>
      <c r="C7" s="22">
        <v>6</v>
      </c>
      <c r="D7" s="22">
        <v>10</v>
      </c>
      <c r="E7" s="47">
        <f t="shared" si="0"/>
        <v>8</v>
      </c>
      <c r="F7" s="38">
        <v>115.56</v>
      </c>
      <c r="G7" s="38">
        <v>117.77</v>
      </c>
      <c r="H7" s="38">
        <v>117.44</v>
      </c>
      <c r="I7" s="34">
        <f t="shared" si="1"/>
        <v>1.8799999999999955</v>
      </c>
      <c r="J7" s="70">
        <f t="shared" si="2"/>
        <v>14.932126696832544</v>
      </c>
      <c r="K7" s="38">
        <v>126.09</v>
      </c>
      <c r="L7" s="38">
        <v>272.49</v>
      </c>
      <c r="M7" s="34">
        <f t="shared" si="3"/>
        <v>146.4</v>
      </c>
      <c r="N7" s="58">
        <v>12.484999999999999</v>
      </c>
      <c r="O7" s="40">
        <v>148.69999999999999</v>
      </c>
      <c r="P7" s="36">
        <f t="shared" si="4"/>
        <v>1.2484999999999999</v>
      </c>
      <c r="Q7" s="36">
        <v>0</v>
      </c>
      <c r="R7" s="52">
        <f t="shared" si="5"/>
        <v>2.3542194148936226</v>
      </c>
      <c r="S7" s="52"/>
      <c r="T7" s="55"/>
      <c r="U7" s="24"/>
      <c r="V7" s="21" t="s">
        <v>46</v>
      </c>
      <c r="W7" s="21">
        <f>27*7*24*60*60</f>
        <v>16329600</v>
      </c>
    </row>
    <row r="8" spans="1:24" x14ac:dyDescent="0.35">
      <c r="A8" s="22">
        <v>4</v>
      </c>
      <c r="B8" s="26">
        <v>45365</v>
      </c>
      <c r="C8" s="22">
        <v>10</v>
      </c>
      <c r="D8" s="22">
        <v>14</v>
      </c>
      <c r="E8" s="47">
        <f t="shared" si="0"/>
        <v>12</v>
      </c>
      <c r="F8" s="38">
        <v>113.21</v>
      </c>
      <c r="G8" s="38">
        <v>115.3</v>
      </c>
      <c r="H8" s="38">
        <v>114.98</v>
      </c>
      <c r="I8" s="34">
        <f t="shared" si="1"/>
        <v>1.7700000000000102</v>
      </c>
      <c r="J8" s="70">
        <f t="shared" si="2"/>
        <v>15.311004784688643</v>
      </c>
      <c r="K8" s="38">
        <v>106.86</v>
      </c>
      <c r="L8" s="38">
        <v>267.81</v>
      </c>
      <c r="M8" s="34">
        <f t="shared" si="3"/>
        <v>160.94999999999999</v>
      </c>
      <c r="N8" s="58">
        <v>8.5969999999999995</v>
      </c>
      <c r="O8" s="40">
        <v>154.30000000000001</v>
      </c>
      <c r="P8" s="36">
        <f t="shared" si="4"/>
        <v>0.85969999999999991</v>
      </c>
      <c r="Q8" s="36">
        <v>0</v>
      </c>
      <c r="R8" s="52">
        <f t="shared" si="5"/>
        <v>1.7218285310734363</v>
      </c>
      <c r="S8" s="52"/>
      <c r="T8" s="55"/>
      <c r="U8" s="24"/>
      <c r="V8" s="44"/>
      <c r="W8" s="44"/>
      <c r="X8" s="44"/>
    </row>
    <row r="9" spans="1:24" x14ac:dyDescent="0.35">
      <c r="A9" s="22">
        <v>5</v>
      </c>
      <c r="B9" s="26">
        <v>45365</v>
      </c>
      <c r="C9" s="22">
        <v>14</v>
      </c>
      <c r="D9" s="22">
        <v>18</v>
      </c>
      <c r="E9" s="47">
        <f t="shared" si="0"/>
        <v>16</v>
      </c>
      <c r="F9" s="38">
        <v>112.19</v>
      </c>
      <c r="G9" s="38">
        <v>114.04</v>
      </c>
      <c r="H9" s="38">
        <v>113.77</v>
      </c>
      <c r="I9" s="34">
        <f t="shared" si="1"/>
        <v>1.5799999999999983</v>
      </c>
      <c r="J9" s="70">
        <f t="shared" si="2"/>
        <v>14.59459459459508</v>
      </c>
      <c r="K9" s="38">
        <v>108.69</v>
      </c>
      <c r="L9" s="38">
        <v>260.60000000000002</v>
      </c>
      <c r="M9" s="34">
        <f t="shared" si="3"/>
        <v>151.91000000000003</v>
      </c>
      <c r="N9" s="58">
        <v>5.9889999999999999</v>
      </c>
      <c r="O9" s="40">
        <v>66.3</v>
      </c>
      <c r="P9" s="36">
        <f t="shared" si="4"/>
        <v>0.59889999999999999</v>
      </c>
      <c r="Q9" s="36">
        <v>0</v>
      </c>
      <c r="R9" s="52">
        <f t="shared" si="5"/>
        <v>1.3437344936708875</v>
      </c>
      <c r="S9" s="52"/>
      <c r="T9" s="55"/>
      <c r="U9" s="24"/>
      <c r="V9" s="19" t="s">
        <v>50</v>
      </c>
      <c r="W9" s="19" t="s">
        <v>49</v>
      </c>
      <c r="X9" s="44"/>
    </row>
    <row r="10" spans="1:24" x14ac:dyDescent="0.35">
      <c r="A10" s="22">
        <v>6</v>
      </c>
      <c r="B10" s="26">
        <v>45365</v>
      </c>
      <c r="C10" s="22">
        <v>18</v>
      </c>
      <c r="D10" s="22">
        <v>22</v>
      </c>
      <c r="E10" s="47">
        <f>AVERAGE(C10:D10)</f>
        <v>20</v>
      </c>
      <c r="F10" s="38">
        <v>110.84</v>
      </c>
      <c r="G10" s="38">
        <v>112.81</v>
      </c>
      <c r="H10" s="38">
        <v>112.52</v>
      </c>
      <c r="I10" s="34">
        <f t="shared" si="1"/>
        <v>1.6799999999999926</v>
      </c>
      <c r="J10" s="70">
        <f t="shared" si="2"/>
        <v>14.720812182741442</v>
      </c>
      <c r="K10" s="38">
        <v>109.26</v>
      </c>
      <c r="L10" s="38">
        <v>255.87</v>
      </c>
      <c r="M10" s="34">
        <f t="shared" si="3"/>
        <v>146.61000000000001</v>
      </c>
      <c r="N10" s="58">
        <v>4.343</v>
      </c>
      <c r="O10" s="40">
        <v>67.2</v>
      </c>
      <c r="P10" s="36">
        <f t="shared" si="4"/>
        <v>0.43429999999999996</v>
      </c>
      <c r="Q10" s="36">
        <v>0</v>
      </c>
      <c r="R10" s="52">
        <f t="shared" si="5"/>
        <v>0.91642470238095641</v>
      </c>
      <c r="S10" s="52"/>
      <c r="T10" s="55"/>
      <c r="U10" s="24"/>
      <c r="V10" s="42">
        <f>$W$4-($W$4-$W$5)*ERF((E15/1000)/SQRT(4*$W$6*10^(-12)*$W$7))</f>
        <v>5.0732890900859848</v>
      </c>
      <c r="W10" s="42">
        <f t="shared" ref="W10:W17" si="6">(R5-V10)^2</f>
        <v>0.46009929137129557</v>
      </c>
    </row>
    <row r="11" spans="1:24" x14ac:dyDescent="0.35">
      <c r="A11" s="22">
        <v>7</v>
      </c>
      <c r="B11" s="26">
        <v>45365</v>
      </c>
      <c r="C11" s="22">
        <v>22</v>
      </c>
      <c r="D11" s="22">
        <v>26</v>
      </c>
      <c r="E11" s="47">
        <f t="shared" si="0"/>
        <v>24</v>
      </c>
      <c r="F11" s="38">
        <v>111.3</v>
      </c>
      <c r="G11" s="38">
        <v>113.67</v>
      </c>
      <c r="H11" s="38">
        <v>113.32</v>
      </c>
      <c r="I11" s="34">
        <f t="shared" si="1"/>
        <v>2.019999999999996</v>
      </c>
      <c r="J11" s="70">
        <f t="shared" si="2"/>
        <v>14.767932489451809</v>
      </c>
      <c r="K11" s="38">
        <v>103.56</v>
      </c>
      <c r="L11" s="38">
        <v>251.24</v>
      </c>
      <c r="M11" s="34">
        <f t="shared" si="3"/>
        <v>147.68</v>
      </c>
      <c r="N11" s="58">
        <v>2.911</v>
      </c>
      <c r="O11" s="40">
        <v>44.5</v>
      </c>
      <c r="P11" s="36">
        <f t="shared" si="4"/>
        <v>0.29110000000000003</v>
      </c>
      <c r="Q11" s="36">
        <v>0</v>
      </c>
      <c r="R11" s="52">
        <f t="shared" si="5"/>
        <v>0.51086608910891207</v>
      </c>
      <c r="S11" s="52"/>
      <c r="T11" s="55"/>
      <c r="U11" s="24"/>
      <c r="V11" s="42">
        <f t="shared" ref="V11:V17" si="7">$W$4-($W$4-$W$5)*ERF((E16/1000)/SQRT(4*$W$6*10^(-12)*$W$7))</f>
        <v>4.0284389350406178</v>
      </c>
      <c r="W11" s="42">
        <f t="shared" si="6"/>
        <v>0.49216379841417829</v>
      </c>
    </row>
    <row r="12" spans="1:24" x14ac:dyDescent="0.35">
      <c r="A12" s="22">
        <v>8</v>
      </c>
      <c r="B12" s="26">
        <v>45365</v>
      </c>
      <c r="C12" s="22">
        <v>26</v>
      </c>
      <c r="D12" s="22">
        <v>30</v>
      </c>
      <c r="E12" s="47">
        <f t="shared" si="0"/>
        <v>28</v>
      </c>
      <c r="F12" s="38">
        <v>114.49</v>
      </c>
      <c r="G12" s="38">
        <v>116.46</v>
      </c>
      <c r="H12" s="38">
        <v>116.18</v>
      </c>
      <c r="I12" s="34">
        <f t="shared" si="1"/>
        <v>1.6900000000000119</v>
      </c>
      <c r="J12" s="70">
        <f t="shared" si="2"/>
        <v>14.213197969542492</v>
      </c>
      <c r="K12" s="38">
        <v>98.78</v>
      </c>
      <c r="L12" s="38">
        <v>258.85000000000002</v>
      </c>
      <c r="M12" s="34">
        <f t="shared" si="3"/>
        <v>160.07000000000002</v>
      </c>
      <c r="N12" s="58">
        <v>1.4119999999999999</v>
      </c>
      <c r="O12" s="40">
        <v>99.9</v>
      </c>
      <c r="P12" s="36">
        <f t="shared" si="4"/>
        <v>0.14119999999999999</v>
      </c>
      <c r="Q12" s="36">
        <f t="shared" ref="Q12:Q62" si="8">0.1*0.001*1000</f>
        <v>0.1</v>
      </c>
      <c r="R12" s="52">
        <f t="shared" si="5"/>
        <v>8.6422485207099956E-2</v>
      </c>
      <c r="S12" s="52"/>
      <c r="T12" s="55"/>
      <c r="U12" s="24"/>
      <c r="V12" s="42">
        <f t="shared" si="7"/>
        <v>2.7701124744882279</v>
      </c>
      <c r="W12" s="42">
        <f t="shared" si="6"/>
        <v>0.17296703701896193</v>
      </c>
    </row>
    <row r="13" spans="1:24" s="44" customFormat="1" ht="15.5" x14ac:dyDescent="0.35">
      <c r="E13" s="51"/>
      <c r="F13" s="46"/>
      <c r="G13" s="46"/>
      <c r="H13" s="46"/>
      <c r="I13" s="46"/>
      <c r="J13" s="71"/>
      <c r="K13" s="46"/>
      <c r="L13" s="46"/>
      <c r="M13" s="46"/>
      <c r="N13" s="62"/>
      <c r="P13" s="62"/>
      <c r="Q13"/>
      <c r="R13"/>
      <c r="S13"/>
      <c r="T13" s="57"/>
      <c r="V13" s="42">
        <f t="shared" si="7"/>
        <v>1.7550988669220708</v>
      </c>
      <c r="W13" s="42">
        <f t="shared" si="6"/>
        <v>1.10691524748094E-3</v>
      </c>
      <c r="X13" s="24"/>
    </row>
    <row r="14" spans="1:24" s="44" customFormat="1" ht="15.5" x14ac:dyDescent="0.35">
      <c r="A14" s="81" t="s">
        <v>99</v>
      </c>
      <c r="E14" s="51"/>
      <c r="F14" s="46"/>
      <c r="G14" s="46"/>
      <c r="H14" s="46"/>
      <c r="I14" s="46"/>
      <c r="J14" s="71"/>
      <c r="K14" s="46"/>
      <c r="L14" s="46"/>
      <c r="M14" s="46"/>
      <c r="N14" s="62"/>
      <c r="Q14"/>
      <c r="R14"/>
      <c r="S14"/>
      <c r="T14" s="57" t="s">
        <v>66</v>
      </c>
      <c r="V14" s="42">
        <f t="shared" si="7"/>
        <v>1.0197584530166077</v>
      </c>
      <c r="W14" s="42">
        <f t="shared" si="6"/>
        <v>0.10496047491802353</v>
      </c>
      <c r="X14" s="24"/>
    </row>
    <row r="15" spans="1:24" x14ac:dyDescent="0.35">
      <c r="A15" s="22">
        <v>1</v>
      </c>
      <c r="B15" s="26"/>
      <c r="C15" s="22">
        <v>0</v>
      </c>
      <c r="D15" s="22">
        <v>2</v>
      </c>
      <c r="E15" s="47">
        <f t="shared" si="0"/>
        <v>1</v>
      </c>
      <c r="F15" s="38"/>
      <c r="G15" s="38"/>
      <c r="H15" s="38"/>
      <c r="I15" s="34">
        <f>H15-F15</f>
        <v>0</v>
      </c>
      <c r="J15" s="70" t="e">
        <f t="shared" si="2"/>
        <v>#DIV/0!</v>
      </c>
      <c r="K15" s="38"/>
      <c r="L15" s="38"/>
      <c r="M15" s="34">
        <f>L15-K15</f>
        <v>0</v>
      </c>
      <c r="N15" s="59"/>
      <c r="O15" s="40"/>
      <c r="P15" s="36">
        <f t="shared" si="4"/>
        <v>0</v>
      </c>
      <c r="Q15" s="36">
        <f t="shared" si="8"/>
        <v>0.1</v>
      </c>
      <c r="R15" s="52" t="e">
        <f t="shared" si="5"/>
        <v>#N/A</v>
      </c>
      <c r="S15" s="52">
        <f>R5</f>
        <v>5.7515952830190109</v>
      </c>
      <c r="T15" s="55">
        <f>IF(S15="#N/A",NA(),AVERAGEIF(R15:S15,"&lt;&gt;#N/A"))</f>
        <v>5.7515952830190109</v>
      </c>
      <c r="U15" s="24"/>
      <c r="V15" s="42">
        <f t="shared" si="7"/>
        <v>0.54130293250978756</v>
      </c>
      <c r="W15" s="42">
        <f t="shared" si="6"/>
        <v>0.14071634223127816</v>
      </c>
    </row>
    <row r="16" spans="1:24" x14ac:dyDescent="0.35">
      <c r="A16" s="22">
        <v>2</v>
      </c>
      <c r="B16" s="26"/>
      <c r="C16" s="22">
        <v>2</v>
      </c>
      <c r="D16" s="22">
        <v>6</v>
      </c>
      <c r="E16" s="47">
        <f>AVERAGE(C16:D16)</f>
        <v>4</v>
      </c>
      <c r="F16" s="38"/>
      <c r="G16" s="38"/>
      <c r="H16" s="38"/>
      <c r="I16" s="34">
        <f t="shared" ref="I16:I22" si="9">H16-F16</f>
        <v>0</v>
      </c>
      <c r="J16" s="70" t="e">
        <f t="shared" si="2"/>
        <v>#DIV/0!</v>
      </c>
      <c r="K16" s="38"/>
      <c r="L16" s="38"/>
      <c r="M16" s="34">
        <f t="shared" ref="M16:M22" si="10">L16-K16</f>
        <v>0</v>
      </c>
      <c r="N16" s="58"/>
      <c r="O16" s="40"/>
      <c r="P16" s="36">
        <f t="shared" si="4"/>
        <v>0</v>
      </c>
      <c r="Q16" s="36">
        <f t="shared" si="8"/>
        <v>0.1</v>
      </c>
      <c r="R16" s="52" t="e">
        <f t="shared" si="5"/>
        <v>#N/A</v>
      </c>
      <c r="S16" s="52">
        <f t="shared" ref="S16:S22" si="11">R6</f>
        <v>3.326895067264569</v>
      </c>
      <c r="T16" s="55">
        <f t="shared" ref="T16:T22" si="12">IF(S16="#N/A",NA(),AVERAGEIF(R16:S16,"&lt;&gt;#N/A"))</f>
        <v>3.326895067264569</v>
      </c>
      <c r="U16" s="24"/>
      <c r="V16" s="42">
        <f t="shared" si="7"/>
        <v>0.26170798464983136</v>
      </c>
      <c r="W16" s="42">
        <f t="shared" si="6"/>
        <v>6.2079761017642177E-2</v>
      </c>
    </row>
    <row r="17" spans="1:23" x14ac:dyDescent="0.35">
      <c r="A17" s="22">
        <v>3</v>
      </c>
      <c r="B17" s="26"/>
      <c r="C17" s="22">
        <v>6</v>
      </c>
      <c r="D17" s="22">
        <v>10</v>
      </c>
      <c r="E17" s="47">
        <f t="shared" si="0"/>
        <v>8</v>
      </c>
      <c r="F17" s="38"/>
      <c r="G17" s="38"/>
      <c r="H17" s="38"/>
      <c r="I17" s="34">
        <f t="shared" si="9"/>
        <v>0</v>
      </c>
      <c r="J17" s="70" t="e">
        <f t="shared" si="2"/>
        <v>#DIV/0!</v>
      </c>
      <c r="K17" s="38"/>
      <c r="L17" s="38"/>
      <c r="M17" s="34">
        <f t="shared" si="10"/>
        <v>0</v>
      </c>
      <c r="N17" s="58"/>
      <c r="O17" s="40"/>
      <c r="P17" s="36">
        <f t="shared" si="4"/>
        <v>0</v>
      </c>
      <c r="Q17" s="36">
        <f t="shared" si="8"/>
        <v>0.1</v>
      </c>
      <c r="R17" s="52" t="e">
        <f t="shared" si="5"/>
        <v>#N/A</v>
      </c>
      <c r="S17" s="52">
        <f t="shared" si="11"/>
        <v>2.3542194148936226</v>
      </c>
      <c r="T17" s="55">
        <f t="shared" si="12"/>
        <v>2.3542194148936226</v>
      </c>
      <c r="U17" s="24"/>
      <c r="V17" s="42">
        <f t="shared" si="7"/>
        <v>0.114967730035751</v>
      </c>
      <c r="W17" s="42">
        <f t="shared" si="6"/>
        <v>8.1483100232762943E-4</v>
      </c>
    </row>
    <row r="18" spans="1:23" x14ac:dyDescent="0.35">
      <c r="A18" s="22">
        <v>4</v>
      </c>
      <c r="B18" s="26"/>
      <c r="C18" s="22">
        <v>10</v>
      </c>
      <c r="D18" s="22">
        <v>14</v>
      </c>
      <c r="E18" s="47">
        <f t="shared" si="0"/>
        <v>12</v>
      </c>
      <c r="F18" s="38"/>
      <c r="G18" s="38"/>
      <c r="H18" s="38"/>
      <c r="I18" s="34">
        <f t="shared" si="9"/>
        <v>0</v>
      </c>
      <c r="J18" s="70" t="e">
        <f t="shared" si="2"/>
        <v>#DIV/0!</v>
      </c>
      <c r="K18" s="38"/>
      <c r="L18" s="38"/>
      <c r="M18" s="34">
        <f t="shared" si="10"/>
        <v>0</v>
      </c>
      <c r="N18" s="58"/>
      <c r="O18" s="40"/>
      <c r="P18" s="36">
        <f t="shared" si="4"/>
        <v>0</v>
      </c>
      <c r="Q18" s="36">
        <f t="shared" si="8"/>
        <v>0.1</v>
      </c>
      <c r="R18" s="52" t="e">
        <f t="shared" si="5"/>
        <v>#N/A</v>
      </c>
      <c r="S18" s="52">
        <f t="shared" si="11"/>
        <v>1.7218285310734363</v>
      </c>
      <c r="T18" s="55">
        <f t="shared" si="12"/>
        <v>1.7218285310734363</v>
      </c>
      <c r="U18" s="24"/>
      <c r="V18" s="21"/>
      <c r="W18" s="42">
        <f>SUM(W10:W17)</f>
        <v>1.4349084512211885</v>
      </c>
    </row>
    <row r="19" spans="1:23" x14ac:dyDescent="0.35">
      <c r="A19" s="22">
        <v>5</v>
      </c>
      <c r="B19" s="26"/>
      <c r="C19" s="22">
        <v>14</v>
      </c>
      <c r="D19" s="22">
        <v>18</v>
      </c>
      <c r="E19" s="47">
        <f t="shared" si="0"/>
        <v>16</v>
      </c>
      <c r="F19" s="38"/>
      <c r="G19" s="38"/>
      <c r="H19" s="38"/>
      <c r="I19" s="34">
        <f t="shared" si="9"/>
        <v>0</v>
      </c>
      <c r="J19" s="70" t="e">
        <f t="shared" si="2"/>
        <v>#DIV/0!</v>
      </c>
      <c r="K19" s="38"/>
      <c r="L19" s="38"/>
      <c r="M19" s="34">
        <f t="shared" si="10"/>
        <v>0</v>
      </c>
      <c r="N19" s="58"/>
      <c r="O19" s="40"/>
      <c r="P19" s="36">
        <f t="shared" si="4"/>
        <v>0</v>
      </c>
      <c r="Q19" s="36">
        <f t="shared" si="8"/>
        <v>0.1</v>
      </c>
      <c r="R19" s="52" t="e">
        <f t="shared" si="5"/>
        <v>#N/A</v>
      </c>
      <c r="S19" s="52">
        <f t="shared" si="11"/>
        <v>1.3437344936708875</v>
      </c>
      <c r="T19" s="55">
        <f t="shared" si="12"/>
        <v>1.3437344936708875</v>
      </c>
      <c r="U19" s="24"/>
    </row>
    <row r="20" spans="1:23" x14ac:dyDescent="0.35">
      <c r="A20" s="22">
        <v>6</v>
      </c>
      <c r="B20" s="26"/>
      <c r="C20" s="22">
        <v>18</v>
      </c>
      <c r="D20" s="22">
        <v>22</v>
      </c>
      <c r="E20" s="47">
        <f t="shared" si="0"/>
        <v>20</v>
      </c>
      <c r="F20" s="38"/>
      <c r="G20" s="38"/>
      <c r="H20" s="38"/>
      <c r="I20" s="34">
        <f t="shared" si="9"/>
        <v>0</v>
      </c>
      <c r="J20" s="70" t="e">
        <f t="shared" si="2"/>
        <v>#DIV/0!</v>
      </c>
      <c r="K20" s="38"/>
      <c r="L20" s="38"/>
      <c r="M20" s="34">
        <f t="shared" si="10"/>
        <v>0</v>
      </c>
      <c r="N20" s="58"/>
      <c r="O20" s="40"/>
      <c r="P20" s="36">
        <f t="shared" si="4"/>
        <v>0</v>
      </c>
      <c r="Q20" s="36">
        <f t="shared" si="8"/>
        <v>0.1</v>
      </c>
      <c r="R20" s="52" t="e">
        <f t="shared" si="5"/>
        <v>#N/A</v>
      </c>
      <c r="S20" s="52">
        <f t="shared" si="11"/>
        <v>0.91642470238095641</v>
      </c>
      <c r="T20" s="55">
        <f t="shared" si="12"/>
        <v>0.91642470238095641</v>
      </c>
      <c r="U20" s="24"/>
    </row>
    <row r="21" spans="1:23" x14ac:dyDescent="0.35">
      <c r="A21" s="22">
        <v>7</v>
      </c>
      <c r="B21" s="26"/>
      <c r="C21" s="22">
        <v>22</v>
      </c>
      <c r="D21" s="22">
        <v>26</v>
      </c>
      <c r="E21" s="47">
        <f t="shared" si="0"/>
        <v>24</v>
      </c>
      <c r="F21" s="38"/>
      <c r="G21" s="38"/>
      <c r="H21" s="38"/>
      <c r="I21" s="34">
        <f t="shared" si="9"/>
        <v>0</v>
      </c>
      <c r="J21" s="70" t="e">
        <f t="shared" si="2"/>
        <v>#DIV/0!</v>
      </c>
      <c r="K21" s="38"/>
      <c r="L21" s="38"/>
      <c r="M21" s="34">
        <f t="shared" si="10"/>
        <v>0</v>
      </c>
      <c r="N21" s="58"/>
      <c r="O21" s="40"/>
      <c r="P21" s="36">
        <f t="shared" si="4"/>
        <v>0</v>
      </c>
      <c r="Q21" s="36">
        <f t="shared" si="8"/>
        <v>0.1</v>
      </c>
      <c r="R21" s="52" t="e">
        <f t="shared" si="5"/>
        <v>#N/A</v>
      </c>
      <c r="S21" s="52">
        <f t="shared" si="11"/>
        <v>0.51086608910891207</v>
      </c>
      <c r="T21" s="55">
        <f t="shared" si="12"/>
        <v>0.51086608910891207</v>
      </c>
      <c r="U21" s="24"/>
    </row>
    <row r="22" spans="1:23" x14ac:dyDescent="0.35">
      <c r="A22" s="22">
        <v>8</v>
      </c>
      <c r="B22" s="26"/>
      <c r="C22" s="22">
        <v>26</v>
      </c>
      <c r="D22" s="22">
        <v>30</v>
      </c>
      <c r="E22" s="47">
        <f t="shared" si="0"/>
        <v>28</v>
      </c>
      <c r="F22" s="38"/>
      <c r="G22" s="38"/>
      <c r="H22" s="38"/>
      <c r="I22" s="34">
        <f t="shared" si="9"/>
        <v>0</v>
      </c>
      <c r="J22" s="70" t="e">
        <f t="shared" si="2"/>
        <v>#DIV/0!</v>
      </c>
      <c r="K22" s="38"/>
      <c r="L22" s="38"/>
      <c r="M22" s="34">
        <f t="shared" si="10"/>
        <v>0</v>
      </c>
      <c r="N22" s="58"/>
      <c r="O22" s="40"/>
      <c r="P22" s="36">
        <f t="shared" si="4"/>
        <v>0</v>
      </c>
      <c r="Q22" s="36">
        <f t="shared" si="8"/>
        <v>0.1</v>
      </c>
      <c r="R22" s="52" t="e">
        <f t="shared" si="5"/>
        <v>#N/A</v>
      </c>
      <c r="S22" s="52">
        <f t="shared" si="11"/>
        <v>8.6422485207099956E-2</v>
      </c>
      <c r="T22" s="55">
        <f t="shared" si="12"/>
        <v>8.6422485207099956E-2</v>
      </c>
      <c r="U22" s="24"/>
    </row>
    <row r="23" spans="1:23" ht="15.5" x14ac:dyDescent="0.35">
      <c r="E23" s="49"/>
      <c r="F23" s="37"/>
      <c r="G23" s="37"/>
      <c r="H23" s="37"/>
      <c r="I23" s="37"/>
      <c r="J23" s="71"/>
      <c r="K23" s="37"/>
      <c r="L23" s="37"/>
      <c r="M23" s="37"/>
      <c r="N23" s="60"/>
      <c r="O23" s="44"/>
      <c r="P23" s="44"/>
      <c r="Q23"/>
      <c r="R23"/>
      <c r="S23"/>
      <c r="T23" s="57"/>
    </row>
    <row r="24" spans="1:23" ht="15.5" x14ac:dyDescent="0.35">
      <c r="A24" s="81" t="s">
        <v>100</v>
      </c>
      <c r="E24" s="49"/>
      <c r="F24" s="37"/>
      <c r="G24" s="37"/>
      <c r="H24" s="37"/>
      <c r="I24" s="37"/>
      <c r="J24" s="71"/>
      <c r="K24" s="37"/>
      <c r="L24" s="37"/>
      <c r="M24" s="37"/>
      <c r="N24" s="61"/>
      <c r="O24" s="44"/>
      <c r="P24" s="44"/>
      <c r="Q24"/>
      <c r="R24"/>
      <c r="S24"/>
      <c r="T24" s="57"/>
    </row>
    <row r="25" spans="1:23" x14ac:dyDescent="0.35">
      <c r="A25" s="22">
        <v>1</v>
      </c>
      <c r="B25" s="26">
        <v>45365</v>
      </c>
      <c r="C25" s="22">
        <v>0</v>
      </c>
      <c r="D25" s="22">
        <v>2</v>
      </c>
      <c r="E25" s="47">
        <f t="shared" si="0"/>
        <v>1</v>
      </c>
      <c r="F25" s="38">
        <v>113.88</v>
      </c>
      <c r="G25" s="38">
        <v>114.11</v>
      </c>
      <c r="H25" s="38">
        <v>114.07</v>
      </c>
      <c r="I25" s="34">
        <f>H25-F25</f>
        <v>0.18999999999999773</v>
      </c>
      <c r="J25" s="70">
        <f t="shared" si="2"/>
        <v>17.391304347828505</v>
      </c>
      <c r="K25" s="38">
        <v>97.09</v>
      </c>
      <c r="L25" s="38">
        <v>248.92</v>
      </c>
      <c r="M25" s="34">
        <f>L25-K25</f>
        <v>151.82999999999998</v>
      </c>
      <c r="N25" s="59">
        <v>1.7450000000000001</v>
      </c>
      <c r="O25" s="40">
        <v>107.7</v>
      </c>
      <c r="P25" s="36">
        <f t="shared" si="4"/>
        <v>0.17450000000000002</v>
      </c>
      <c r="Q25" s="36">
        <v>0</v>
      </c>
      <c r="R25" s="52">
        <f t="shared" si="5"/>
        <v>3.2558026315789865</v>
      </c>
      <c r="S25" s="52"/>
      <c r="T25" s="55"/>
      <c r="U25" s="24"/>
    </row>
    <row r="26" spans="1:23" x14ac:dyDescent="0.35">
      <c r="A26" s="22">
        <v>2</v>
      </c>
      <c r="B26" s="26">
        <v>45365</v>
      </c>
      <c r="C26" s="22">
        <v>2</v>
      </c>
      <c r="D26" s="22">
        <v>6</v>
      </c>
      <c r="E26" s="47">
        <f t="shared" si="0"/>
        <v>4</v>
      </c>
      <c r="F26" s="38">
        <v>112.4</v>
      </c>
      <c r="G26" s="38">
        <v>115.03</v>
      </c>
      <c r="H26" s="38">
        <v>114.57</v>
      </c>
      <c r="I26" s="34">
        <f t="shared" ref="I26:I32" si="13">H26-F26</f>
        <v>2.1699999999999875</v>
      </c>
      <c r="J26" s="70">
        <f t="shared" si="2"/>
        <v>17.49049429657828</v>
      </c>
      <c r="K26" s="38">
        <v>105.83</v>
      </c>
      <c r="L26" s="38">
        <v>257.99</v>
      </c>
      <c r="M26" s="34">
        <f t="shared" ref="M26:M32" si="14">L26-K26</f>
        <v>152.16000000000003</v>
      </c>
      <c r="N26" s="58">
        <v>15.47</v>
      </c>
      <c r="O26" s="40">
        <v>50.6</v>
      </c>
      <c r="P26" s="36">
        <f t="shared" si="4"/>
        <v>1.5470000000000002</v>
      </c>
      <c r="Q26" s="36">
        <v>0</v>
      </c>
      <c r="R26" s="52">
        <f t="shared" si="5"/>
        <v>2.5272419354838864</v>
      </c>
      <c r="S26" s="52"/>
      <c r="T26" s="55"/>
      <c r="U26" s="24"/>
    </row>
    <row r="27" spans="1:23" x14ac:dyDescent="0.35">
      <c r="A27" s="22">
        <v>3</v>
      </c>
      <c r="B27" s="26">
        <v>45365</v>
      </c>
      <c r="C27" s="22">
        <v>6</v>
      </c>
      <c r="D27" s="22">
        <v>10</v>
      </c>
      <c r="E27" s="47">
        <f t="shared" si="0"/>
        <v>8</v>
      </c>
      <c r="F27" s="38">
        <v>113.48</v>
      </c>
      <c r="G27" s="38">
        <v>115.48</v>
      </c>
      <c r="H27" s="38">
        <v>115.12</v>
      </c>
      <c r="I27" s="34">
        <f t="shared" si="13"/>
        <v>1.6400000000000006</v>
      </c>
      <c r="J27" s="70">
        <f t="shared" si="2"/>
        <v>17.999999999999972</v>
      </c>
      <c r="K27" s="38">
        <f t="shared" ref="K27:K32" si="15">K7</f>
        <v>126.09</v>
      </c>
      <c r="L27" s="38">
        <v>269.67</v>
      </c>
      <c r="M27" s="34">
        <f t="shared" si="14"/>
        <v>143.58000000000001</v>
      </c>
      <c r="N27" s="58">
        <v>7.3440000000000003</v>
      </c>
      <c r="O27" s="40">
        <v>164.8</v>
      </c>
      <c r="P27" s="36">
        <f t="shared" si="4"/>
        <v>0.73440000000000005</v>
      </c>
      <c r="Q27" s="36">
        <v>0</v>
      </c>
      <c r="R27" s="52">
        <f t="shared" si="5"/>
        <v>1.5874682926829264</v>
      </c>
      <c r="S27" s="52"/>
      <c r="T27" s="55"/>
      <c r="U27" s="24"/>
    </row>
    <row r="28" spans="1:23" x14ac:dyDescent="0.35">
      <c r="A28" s="22">
        <v>4</v>
      </c>
      <c r="B28" s="26">
        <v>45365</v>
      </c>
      <c r="C28" s="22">
        <v>10</v>
      </c>
      <c r="D28" s="22">
        <v>14</v>
      </c>
      <c r="E28" s="47">
        <f t="shared" si="0"/>
        <v>12</v>
      </c>
      <c r="F28" s="38">
        <v>112.86</v>
      </c>
      <c r="G28" s="38">
        <v>114.92</v>
      </c>
      <c r="H28" s="38">
        <v>114.56</v>
      </c>
      <c r="I28" s="34">
        <f t="shared" si="13"/>
        <v>1.7000000000000028</v>
      </c>
      <c r="J28" s="70">
        <f t="shared" si="2"/>
        <v>17.475728155339759</v>
      </c>
      <c r="K28" s="38">
        <f t="shared" si="15"/>
        <v>106.86</v>
      </c>
      <c r="L28" s="38">
        <v>264.75</v>
      </c>
      <c r="M28" s="34">
        <f t="shared" si="14"/>
        <v>157.88999999999999</v>
      </c>
      <c r="N28" s="58">
        <v>5.0819999999999999</v>
      </c>
      <c r="O28" s="40">
        <v>63.4</v>
      </c>
      <c r="P28" s="36">
        <f t="shared" si="4"/>
        <v>0.50819999999999999</v>
      </c>
      <c r="Q28" s="36">
        <v>0</v>
      </c>
      <c r="R28" s="52">
        <f t="shared" si="5"/>
        <v>1.0597464705882336</v>
      </c>
      <c r="S28" s="52"/>
      <c r="T28" s="55"/>
      <c r="U28" s="24"/>
      <c r="V28" s="20" t="s">
        <v>52</v>
      </c>
    </row>
    <row r="29" spans="1:23" x14ac:dyDescent="0.35">
      <c r="A29" s="22">
        <v>5</v>
      </c>
      <c r="B29" s="26">
        <v>45365</v>
      </c>
      <c r="C29" s="22">
        <v>14</v>
      </c>
      <c r="D29" s="22">
        <v>18</v>
      </c>
      <c r="E29" s="47">
        <f t="shared" si="0"/>
        <v>16</v>
      </c>
      <c r="F29" s="38">
        <v>113.82</v>
      </c>
      <c r="G29" s="38">
        <v>115.9</v>
      </c>
      <c r="H29" s="63">
        <v>115.55</v>
      </c>
      <c r="I29" s="34">
        <f t="shared" si="13"/>
        <v>1.730000000000004</v>
      </c>
      <c r="J29" s="70">
        <f t="shared" si="2"/>
        <v>16.826923076923386</v>
      </c>
      <c r="K29" s="38">
        <f t="shared" si="15"/>
        <v>108.69</v>
      </c>
      <c r="L29" s="38">
        <v>260.38</v>
      </c>
      <c r="M29" s="34">
        <f t="shared" si="14"/>
        <v>151.69</v>
      </c>
      <c r="N29" s="58">
        <v>1.9330000000000001</v>
      </c>
      <c r="O29" s="40">
        <v>136.80000000000001</v>
      </c>
      <c r="P29" s="36">
        <f t="shared" si="4"/>
        <v>0.1933</v>
      </c>
      <c r="Q29" s="36">
        <v>0</v>
      </c>
      <c r="R29" s="52">
        <f t="shared" si="5"/>
        <v>0.39609739884392975</v>
      </c>
      <c r="S29" s="52"/>
      <c r="T29" s="55"/>
      <c r="U29" s="24"/>
      <c r="V29" s="21" t="s">
        <v>44</v>
      </c>
      <c r="W29" s="43">
        <v>3.6410551414350301</v>
      </c>
    </row>
    <row r="30" spans="1:23" x14ac:dyDescent="0.35">
      <c r="A30" s="22">
        <v>6</v>
      </c>
      <c r="B30" s="26">
        <v>45365</v>
      </c>
      <c r="C30" s="22">
        <v>18</v>
      </c>
      <c r="D30" s="22">
        <v>22</v>
      </c>
      <c r="E30" s="47">
        <f t="shared" si="0"/>
        <v>20</v>
      </c>
      <c r="F30" s="38">
        <v>111.02</v>
      </c>
      <c r="G30" s="38">
        <v>113.19</v>
      </c>
      <c r="H30" s="38">
        <v>112.84</v>
      </c>
      <c r="I30" s="34">
        <f t="shared" si="13"/>
        <v>1.8200000000000074</v>
      </c>
      <c r="J30" s="70">
        <f t="shared" si="2"/>
        <v>16.129032258064242</v>
      </c>
      <c r="K30" s="38">
        <f t="shared" si="15"/>
        <v>109.26</v>
      </c>
      <c r="L30" s="38">
        <v>263.61</v>
      </c>
      <c r="M30" s="34">
        <f t="shared" si="14"/>
        <v>154.35000000000002</v>
      </c>
      <c r="N30" s="58">
        <v>1.3240000000000001</v>
      </c>
      <c r="O30" s="40">
        <v>111</v>
      </c>
      <c r="P30" s="36">
        <f t="shared" si="4"/>
        <v>0.13240000000000002</v>
      </c>
      <c r="Q30" s="36">
        <f t="shared" si="8"/>
        <v>0.1</v>
      </c>
      <c r="R30" s="52">
        <f t="shared" si="5"/>
        <v>6.3108791208790996E-2</v>
      </c>
      <c r="S30" s="52"/>
      <c r="T30" s="55"/>
      <c r="U30" s="24"/>
      <c r="V30" s="21" t="s">
        <v>45</v>
      </c>
      <c r="W30" s="21">
        <v>0</v>
      </c>
    </row>
    <row r="31" spans="1:23" x14ac:dyDescent="0.35">
      <c r="A31" s="22">
        <v>7</v>
      </c>
      <c r="B31" s="26">
        <v>45365</v>
      </c>
      <c r="C31" s="22">
        <v>22</v>
      </c>
      <c r="D31" s="22">
        <v>26</v>
      </c>
      <c r="E31" s="47">
        <f t="shared" si="0"/>
        <v>24</v>
      </c>
      <c r="F31" s="38">
        <v>113.11</v>
      </c>
      <c r="G31" s="38">
        <v>115.09</v>
      </c>
      <c r="H31" s="38">
        <v>114.76</v>
      </c>
      <c r="I31" s="34">
        <f t="shared" si="13"/>
        <v>1.6500000000000057</v>
      </c>
      <c r="J31" s="70">
        <f t="shared" si="2"/>
        <v>16.666666666666547</v>
      </c>
      <c r="K31" s="38">
        <f t="shared" si="15"/>
        <v>103.56</v>
      </c>
      <c r="L31" s="38">
        <v>251.84</v>
      </c>
      <c r="M31" s="34">
        <f t="shared" si="14"/>
        <v>148.28</v>
      </c>
      <c r="N31" s="58">
        <v>1.107</v>
      </c>
      <c r="O31" s="40">
        <v>92.3</v>
      </c>
      <c r="P31" s="36">
        <f t="shared" si="4"/>
        <v>0.11069999999999999</v>
      </c>
      <c r="Q31" s="36">
        <f t="shared" si="8"/>
        <v>0.1</v>
      </c>
      <c r="R31" s="52">
        <f t="shared" si="5"/>
        <v>2.2988787878787775E-2</v>
      </c>
      <c r="S31" s="52"/>
      <c r="T31" s="55"/>
      <c r="U31" s="24"/>
      <c r="V31" s="27" t="s">
        <v>47</v>
      </c>
      <c r="W31" s="64">
        <v>3.430920628902864</v>
      </c>
    </row>
    <row r="32" spans="1:23" x14ac:dyDescent="0.35">
      <c r="A32" s="22">
        <v>8</v>
      </c>
      <c r="B32" s="26">
        <v>45365</v>
      </c>
      <c r="C32" s="22">
        <v>26</v>
      </c>
      <c r="D32" s="22">
        <v>30</v>
      </c>
      <c r="E32" s="47">
        <f t="shared" si="0"/>
        <v>28</v>
      </c>
      <c r="F32" s="38">
        <v>114.28</v>
      </c>
      <c r="G32" s="38">
        <v>115.43</v>
      </c>
      <c r="H32" s="38">
        <v>115.24</v>
      </c>
      <c r="I32" s="34">
        <f t="shared" si="13"/>
        <v>0.95999999999999375</v>
      </c>
      <c r="J32" s="70">
        <f t="shared" si="2"/>
        <v>16.521739130435741</v>
      </c>
      <c r="K32" s="38">
        <f t="shared" si="15"/>
        <v>98.78</v>
      </c>
      <c r="L32" s="38">
        <v>258.72000000000003</v>
      </c>
      <c r="M32" s="34">
        <f t="shared" si="14"/>
        <v>159.94000000000003</v>
      </c>
      <c r="N32" s="58">
        <v>1.123</v>
      </c>
      <c r="O32" s="40">
        <v>79.2</v>
      </c>
      <c r="P32" s="36">
        <f t="shared" si="4"/>
        <v>0.11230000000000002</v>
      </c>
      <c r="Q32" s="36">
        <f t="shared" si="8"/>
        <v>0.1</v>
      </c>
      <c r="R32" s="52">
        <f t="shared" si="5"/>
        <v>4.5420312500000372E-2</v>
      </c>
      <c r="S32" s="52"/>
      <c r="T32" s="55"/>
      <c r="U32" s="24"/>
      <c r="V32" s="21" t="s">
        <v>46</v>
      </c>
      <c r="W32" s="21">
        <f>26*7*24*60*60</f>
        <v>15724800</v>
      </c>
    </row>
    <row r="33" spans="1:23" ht="15.5" x14ac:dyDescent="0.35">
      <c r="E33" s="49"/>
      <c r="F33" s="37"/>
      <c r="G33" s="37"/>
      <c r="H33" s="37"/>
      <c r="I33" s="37"/>
      <c r="J33" s="71"/>
      <c r="K33" s="37"/>
      <c r="L33" s="37"/>
      <c r="M33" s="37"/>
      <c r="N33" s="60"/>
      <c r="O33" s="44"/>
      <c r="P33" s="62"/>
      <c r="Q33"/>
      <c r="R33"/>
      <c r="S33"/>
      <c r="T33" s="57"/>
      <c r="V33" s="44"/>
      <c r="W33" s="44"/>
    </row>
    <row r="34" spans="1:23" ht="15.5" x14ac:dyDescent="0.35">
      <c r="A34" s="81" t="s">
        <v>101</v>
      </c>
      <c r="E34" s="49"/>
      <c r="F34" s="37"/>
      <c r="G34" s="37"/>
      <c r="H34" s="37"/>
      <c r="I34" s="37"/>
      <c r="J34" s="71"/>
      <c r="K34" s="37"/>
      <c r="L34" s="37"/>
      <c r="M34" s="37"/>
      <c r="N34" s="61"/>
      <c r="O34" s="44"/>
      <c r="P34" s="44"/>
      <c r="Q34"/>
      <c r="R34"/>
      <c r="S34"/>
      <c r="T34" s="57" t="s">
        <v>67</v>
      </c>
      <c r="V34" s="19" t="s">
        <v>50</v>
      </c>
      <c r="W34" s="19" t="s">
        <v>49</v>
      </c>
    </row>
    <row r="35" spans="1:23" x14ac:dyDescent="0.35">
      <c r="A35" s="22">
        <v>1</v>
      </c>
      <c r="B35" s="26"/>
      <c r="C35" s="22">
        <v>0</v>
      </c>
      <c r="D35" s="22">
        <v>2</v>
      </c>
      <c r="E35" s="47">
        <f t="shared" si="0"/>
        <v>1</v>
      </c>
      <c r="F35" s="38"/>
      <c r="G35" s="38"/>
      <c r="H35" s="38"/>
      <c r="I35" s="34">
        <f>H35-F35</f>
        <v>0</v>
      </c>
      <c r="J35" s="70" t="e">
        <f t="shared" si="2"/>
        <v>#DIV/0!</v>
      </c>
      <c r="K35" s="38"/>
      <c r="L35" s="38"/>
      <c r="M35" s="34">
        <f>L35-K35</f>
        <v>0</v>
      </c>
      <c r="N35" s="59"/>
      <c r="O35" s="40"/>
      <c r="P35" s="36">
        <f t="shared" si="4"/>
        <v>0</v>
      </c>
      <c r="Q35" s="36">
        <f t="shared" si="8"/>
        <v>0.1</v>
      </c>
      <c r="R35" s="52" t="e">
        <f t="shared" si="5"/>
        <v>#N/A</v>
      </c>
      <c r="S35" s="52">
        <f>R25</f>
        <v>3.2558026315789865</v>
      </c>
      <c r="T35" s="55">
        <f>IF(S35="#N/A",NA(),AVERAGEIF(R35:S35,"&lt;&gt;#N/A"))</f>
        <v>3.2558026315789865</v>
      </c>
      <c r="U35" s="24"/>
      <c r="V35" s="42">
        <f>$W$29-($W$29-$W$30)*ERF((E35/1000)/SQRT(4*$W$31*10^(-12)*$W$32))</f>
        <v>3.3618110379540744</v>
      </c>
      <c r="W35" s="42">
        <f>(T35-V35)^2</f>
        <v>1.1237782222185778E-2</v>
      </c>
    </row>
    <row r="36" spans="1:23" x14ac:dyDescent="0.35">
      <c r="A36" s="22">
        <v>2</v>
      </c>
      <c r="B36" s="26"/>
      <c r="C36" s="22">
        <v>2</v>
      </c>
      <c r="D36" s="22">
        <v>6</v>
      </c>
      <c r="E36" s="47">
        <f t="shared" si="0"/>
        <v>4</v>
      </c>
      <c r="F36" s="38"/>
      <c r="G36" s="38"/>
      <c r="H36" s="38"/>
      <c r="I36" s="34">
        <f t="shared" ref="I36:I42" si="16">H36-F36</f>
        <v>0</v>
      </c>
      <c r="J36" s="70" t="e">
        <f t="shared" si="2"/>
        <v>#DIV/0!</v>
      </c>
      <c r="K36" s="38"/>
      <c r="L36" s="38"/>
      <c r="M36" s="34">
        <f t="shared" ref="M36:M42" si="17">L36-K36</f>
        <v>0</v>
      </c>
      <c r="N36" s="59"/>
      <c r="O36" s="40"/>
      <c r="P36" s="36">
        <f t="shared" si="4"/>
        <v>0</v>
      </c>
      <c r="Q36" s="36">
        <f t="shared" si="8"/>
        <v>0.1</v>
      </c>
      <c r="R36" s="52" t="e">
        <f t="shared" si="5"/>
        <v>#N/A</v>
      </c>
      <c r="S36" s="52">
        <f t="shared" ref="S36:S42" si="18">R26</f>
        <v>2.5272419354838864</v>
      </c>
      <c r="T36" s="55">
        <f t="shared" ref="T36:T42" si="19">IF(S36="#N/A",NA(),AVERAGEIF(R36:S36,"&lt;&gt;#N/A"))</f>
        <v>2.5272419354838864</v>
      </c>
      <c r="U36" s="24"/>
      <c r="V36" s="42">
        <f t="shared" ref="V36:V42" si="20">$W$29-($W$29-$W$30)*ERF((E36/1000)/SQRT(4*$W$31*10^(-12)*$W$32))</f>
        <v>2.5493964933664168</v>
      </c>
      <c r="W36" s="42">
        <f>(T36-V36)^2</f>
        <v>4.9082443497038995E-4</v>
      </c>
    </row>
    <row r="37" spans="1:23" x14ac:dyDescent="0.35">
      <c r="A37" s="22">
        <v>3</v>
      </c>
      <c r="B37" s="26"/>
      <c r="C37" s="22">
        <v>6</v>
      </c>
      <c r="D37" s="22">
        <v>10</v>
      </c>
      <c r="E37" s="47">
        <f t="shared" si="0"/>
        <v>8</v>
      </c>
      <c r="F37" s="38"/>
      <c r="G37" s="38"/>
      <c r="H37" s="38"/>
      <c r="I37" s="34">
        <f t="shared" si="16"/>
        <v>0</v>
      </c>
      <c r="J37" s="70" t="e">
        <f t="shared" si="2"/>
        <v>#DIV/0!</v>
      </c>
      <c r="K37" s="38"/>
      <c r="L37" s="38"/>
      <c r="M37" s="34">
        <f t="shared" si="17"/>
        <v>0</v>
      </c>
      <c r="N37" s="58"/>
      <c r="O37" s="40"/>
      <c r="P37" s="36">
        <f t="shared" si="4"/>
        <v>0</v>
      </c>
      <c r="Q37" s="36">
        <f t="shared" si="8"/>
        <v>0.1</v>
      </c>
      <c r="R37" s="52" t="e">
        <f t="shared" si="5"/>
        <v>#N/A</v>
      </c>
      <c r="S37" s="52">
        <f t="shared" si="18"/>
        <v>1.5874682926829264</v>
      </c>
      <c r="T37" s="55">
        <f t="shared" si="19"/>
        <v>1.5874682926829264</v>
      </c>
      <c r="U37" s="24"/>
      <c r="V37" s="42">
        <f t="shared" si="20"/>
        <v>1.6064665134303335</v>
      </c>
      <c r="W37" s="42">
        <f t="shared" ref="W37:W41" si="21">(T37-V37)^2</f>
        <v>3.6093239156720922E-4</v>
      </c>
    </row>
    <row r="38" spans="1:23" x14ac:dyDescent="0.35">
      <c r="A38" s="22">
        <v>4</v>
      </c>
      <c r="B38" s="26"/>
      <c r="C38" s="22">
        <v>10</v>
      </c>
      <c r="D38" s="22">
        <v>14</v>
      </c>
      <c r="E38" s="47">
        <f t="shared" si="0"/>
        <v>12</v>
      </c>
      <c r="F38" s="38"/>
      <c r="G38" s="38"/>
      <c r="H38" s="38"/>
      <c r="I38" s="34">
        <f t="shared" si="16"/>
        <v>0</v>
      </c>
      <c r="J38" s="70" t="e">
        <f t="shared" si="2"/>
        <v>#DIV/0!</v>
      </c>
      <c r="K38" s="38"/>
      <c r="L38" s="38"/>
      <c r="M38" s="34">
        <f t="shared" si="17"/>
        <v>0</v>
      </c>
      <c r="N38" s="58"/>
      <c r="O38" s="40"/>
      <c r="P38" s="36">
        <f t="shared" si="4"/>
        <v>0</v>
      </c>
      <c r="Q38" s="36">
        <f t="shared" si="8"/>
        <v>0.1</v>
      </c>
      <c r="R38" s="52" t="e">
        <f t="shared" si="5"/>
        <v>#N/A</v>
      </c>
      <c r="S38" s="52">
        <f t="shared" si="18"/>
        <v>1.0597464705882336</v>
      </c>
      <c r="T38" s="55">
        <f t="shared" si="19"/>
        <v>1.0597464705882336</v>
      </c>
      <c r="U38" s="24"/>
      <c r="V38" s="42">
        <f t="shared" si="20"/>
        <v>0.90296847118016332</v>
      </c>
      <c r="W38" s="42">
        <f t="shared" si="21"/>
        <v>2.4579341098396875E-2</v>
      </c>
    </row>
    <row r="39" spans="1:23" x14ac:dyDescent="0.35">
      <c r="A39" s="22">
        <v>5</v>
      </c>
      <c r="B39" s="26"/>
      <c r="C39" s="22">
        <v>14</v>
      </c>
      <c r="D39" s="22">
        <v>18</v>
      </c>
      <c r="E39" s="47">
        <f t="shared" si="0"/>
        <v>16</v>
      </c>
      <c r="F39" s="38"/>
      <c r="G39" s="38"/>
      <c r="H39" s="38"/>
      <c r="I39" s="34">
        <f t="shared" si="16"/>
        <v>0</v>
      </c>
      <c r="J39" s="70" t="e">
        <f t="shared" si="2"/>
        <v>#DIV/0!</v>
      </c>
      <c r="K39" s="38"/>
      <c r="L39" s="38"/>
      <c r="M39" s="34">
        <f t="shared" si="17"/>
        <v>0</v>
      </c>
      <c r="N39" s="58"/>
      <c r="O39" s="40"/>
      <c r="P39" s="36">
        <f t="shared" si="4"/>
        <v>0</v>
      </c>
      <c r="Q39" s="36">
        <f t="shared" si="8"/>
        <v>0.1</v>
      </c>
      <c r="R39" s="52" t="e">
        <f t="shared" si="5"/>
        <v>#N/A</v>
      </c>
      <c r="S39" s="52">
        <f t="shared" si="18"/>
        <v>0.39609739884392975</v>
      </c>
      <c r="T39" s="55">
        <f t="shared" si="19"/>
        <v>0.39609739884392975</v>
      </c>
      <c r="U39" s="24"/>
      <c r="V39" s="42">
        <f t="shared" si="20"/>
        <v>0.44961829941860465</v>
      </c>
      <c r="W39" s="42">
        <f t="shared" si="21"/>
        <v>2.864486798324236E-3</v>
      </c>
    </row>
    <row r="40" spans="1:23" x14ac:dyDescent="0.35">
      <c r="A40" s="22">
        <v>6</v>
      </c>
      <c r="B40" s="26"/>
      <c r="C40" s="22">
        <v>18</v>
      </c>
      <c r="D40" s="22">
        <v>22</v>
      </c>
      <c r="E40" s="47">
        <f t="shared" si="0"/>
        <v>20</v>
      </c>
      <c r="F40" s="38"/>
      <c r="G40" s="38"/>
      <c r="H40" s="38"/>
      <c r="I40" s="34">
        <f t="shared" si="16"/>
        <v>0</v>
      </c>
      <c r="J40" s="70" t="e">
        <f t="shared" si="2"/>
        <v>#DIV/0!</v>
      </c>
      <c r="K40" s="38"/>
      <c r="L40" s="38"/>
      <c r="M40" s="34">
        <f t="shared" si="17"/>
        <v>0</v>
      </c>
      <c r="N40" s="58"/>
      <c r="O40" s="40"/>
      <c r="P40" s="36">
        <f t="shared" si="4"/>
        <v>0</v>
      </c>
      <c r="Q40" s="36">
        <f t="shared" si="8"/>
        <v>0.1</v>
      </c>
      <c r="R40" s="52" t="e">
        <f t="shared" si="5"/>
        <v>#N/A</v>
      </c>
      <c r="S40" s="52">
        <f t="shared" si="18"/>
        <v>6.3108791208790996E-2</v>
      </c>
      <c r="T40" s="55">
        <f t="shared" si="19"/>
        <v>6.3108791208790996E-2</v>
      </c>
      <c r="U40" s="24"/>
      <c r="V40" s="42">
        <f t="shared" si="20"/>
        <v>0.19727775884046972</v>
      </c>
      <c r="W40" s="42">
        <f t="shared" si="21"/>
        <v>1.8001311875350458E-2</v>
      </c>
    </row>
    <row r="41" spans="1:23" x14ac:dyDescent="0.35">
      <c r="A41" s="22">
        <v>7</v>
      </c>
      <c r="B41" s="26"/>
      <c r="C41" s="22">
        <v>22</v>
      </c>
      <c r="D41" s="22">
        <v>26</v>
      </c>
      <c r="E41" s="47">
        <f t="shared" si="0"/>
        <v>24</v>
      </c>
      <c r="F41" s="38"/>
      <c r="G41" s="38"/>
      <c r="H41" s="38"/>
      <c r="I41" s="34">
        <f t="shared" si="16"/>
        <v>0</v>
      </c>
      <c r="J41" s="70" t="e">
        <f t="shared" si="2"/>
        <v>#DIV/0!</v>
      </c>
      <c r="K41" s="38"/>
      <c r="L41" s="38"/>
      <c r="M41" s="34">
        <f t="shared" si="17"/>
        <v>0</v>
      </c>
      <c r="N41" s="58"/>
      <c r="O41" s="40"/>
      <c r="P41" s="36">
        <f t="shared" si="4"/>
        <v>0</v>
      </c>
      <c r="Q41" s="36">
        <f t="shared" si="8"/>
        <v>0.1</v>
      </c>
      <c r="R41" s="52" t="e">
        <f t="shared" si="5"/>
        <v>#N/A</v>
      </c>
      <c r="S41" s="52">
        <f t="shared" si="18"/>
        <v>2.2988787878787775E-2</v>
      </c>
      <c r="T41" s="55">
        <f t="shared" si="19"/>
        <v>2.2988787878787775E-2</v>
      </c>
      <c r="U41" s="24"/>
      <c r="V41" s="42">
        <f t="shared" si="20"/>
        <v>7.5962362344628165E-2</v>
      </c>
      <c r="W41" s="42">
        <f t="shared" si="21"/>
        <v>2.806199591687937E-3</v>
      </c>
    </row>
    <row r="42" spans="1:23" x14ac:dyDescent="0.35">
      <c r="A42" s="22">
        <v>8</v>
      </c>
      <c r="B42" s="26"/>
      <c r="C42" s="22">
        <v>26</v>
      </c>
      <c r="D42" s="22">
        <v>30</v>
      </c>
      <c r="E42" s="47">
        <f t="shared" si="0"/>
        <v>28</v>
      </c>
      <c r="F42" s="38"/>
      <c r="G42" s="38"/>
      <c r="H42" s="38"/>
      <c r="I42" s="34">
        <f t="shared" si="16"/>
        <v>0</v>
      </c>
      <c r="J42" s="70" t="e">
        <f t="shared" si="2"/>
        <v>#DIV/0!</v>
      </c>
      <c r="K42" s="38"/>
      <c r="L42" s="38"/>
      <c r="M42" s="34">
        <f t="shared" si="17"/>
        <v>0</v>
      </c>
      <c r="N42" s="58"/>
      <c r="O42" s="40"/>
      <c r="P42" s="36">
        <f t="shared" si="4"/>
        <v>0</v>
      </c>
      <c r="Q42" s="36">
        <f t="shared" si="8"/>
        <v>0.1</v>
      </c>
      <c r="R42" s="52" t="e">
        <f t="shared" si="5"/>
        <v>#N/A</v>
      </c>
      <c r="S42" s="52">
        <f t="shared" si="18"/>
        <v>4.5420312500000372E-2</v>
      </c>
      <c r="T42" s="55">
        <f t="shared" si="19"/>
        <v>4.5420312500000372E-2</v>
      </c>
      <c r="U42" s="24"/>
      <c r="V42" s="42">
        <f t="shared" si="20"/>
        <v>2.5587692794703187E-2</v>
      </c>
      <c r="W42" s="42">
        <f>(T42-V42)^2</f>
        <v>3.9333280437494218E-4</v>
      </c>
    </row>
    <row r="43" spans="1:23" ht="15.5" x14ac:dyDescent="0.35">
      <c r="E43" s="49"/>
      <c r="F43" s="37"/>
      <c r="G43" s="37"/>
      <c r="H43" s="37"/>
      <c r="I43" s="37"/>
      <c r="J43" s="71"/>
      <c r="K43" s="37"/>
      <c r="L43" s="37"/>
      <c r="M43" s="37"/>
      <c r="N43" s="60"/>
      <c r="O43" s="44"/>
      <c r="P43" s="44"/>
      <c r="Q43"/>
      <c r="R43"/>
      <c r="S43"/>
      <c r="T43" s="57"/>
      <c r="V43" s="21"/>
      <c r="W43" s="42">
        <f>SUM(W36:W41)</f>
        <v>4.9103096190297103E-2</v>
      </c>
    </row>
    <row r="44" spans="1:23" ht="15.5" x14ac:dyDescent="0.35">
      <c r="A44" s="81" t="s">
        <v>102</v>
      </c>
      <c r="E44" s="49"/>
      <c r="F44" s="37"/>
      <c r="G44" s="37"/>
      <c r="H44" s="37"/>
      <c r="I44" s="37"/>
      <c r="J44" s="71"/>
      <c r="K44" s="37"/>
      <c r="L44" s="37"/>
      <c r="M44" s="37"/>
      <c r="N44" s="61"/>
      <c r="O44" s="44"/>
      <c r="P44" s="44"/>
      <c r="Q44"/>
      <c r="R44"/>
      <c r="S44"/>
      <c r="T44" s="57"/>
    </row>
    <row r="45" spans="1:23" x14ac:dyDescent="0.35">
      <c r="A45" s="22">
        <v>1</v>
      </c>
      <c r="B45" s="26">
        <v>45365</v>
      </c>
      <c r="C45" s="22">
        <v>0</v>
      </c>
      <c r="D45" s="22">
        <v>2</v>
      </c>
      <c r="E45" s="47">
        <f>AVERAGE(C45:D45)</f>
        <v>1</v>
      </c>
      <c r="F45" s="38">
        <v>109.89</v>
      </c>
      <c r="G45" s="38">
        <v>111.24</v>
      </c>
      <c r="H45" s="38">
        <v>110.94</v>
      </c>
      <c r="I45" s="34">
        <f>H45-F45</f>
        <v>1.0499999999999972</v>
      </c>
      <c r="J45" s="70">
        <f t="shared" si="2"/>
        <v>22.222222222222104</v>
      </c>
      <c r="K45" s="38">
        <f t="shared" ref="K45:K52" si="22">K5</f>
        <v>105.83</v>
      </c>
      <c r="L45" s="38">
        <v>259.39999999999998</v>
      </c>
      <c r="M45" s="34">
        <f>L45-K45</f>
        <v>153.57</v>
      </c>
      <c r="N45" s="59">
        <v>10.247</v>
      </c>
      <c r="O45" s="40">
        <v>70.599999999999994</v>
      </c>
      <c r="P45" s="36">
        <f t="shared" si="4"/>
        <v>1.0246999999999999</v>
      </c>
      <c r="Q45" s="36">
        <v>0</v>
      </c>
      <c r="R45" s="52">
        <f t="shared" si="5"/>
        <v>3.4595823809523902</v>
      </c>
      <c r="S45" s="52"/>
      <c r="T45" s="55"/>
      <c r="U45" s="24"/>
    </row>
    <row r="46" spans="1:23" x14ac:dyDescent="0.35">
      <c r="A46" s="29">
        <v>2</v>
      </c>
      <c r="B46" s="26">
        <v>45365</v>
      </c>
      <c r="C46" s="22">
        <v>2</v>
      </c>
      <c r="D46" s="22">
        <v>6</v>
      </c>
      <c r="E46" s="50">
        <f t="shared" si="0"/>
        <v>4</v>
      </c>
      <c r="F46" s="38">
        <v>114.32</v>
      </c>
      <c r="G46" s="39">
        <v>116.44</v>
      </c>
      <c r="H46" s="39">
        <v>116.01</v>
      </c>
      <c r="I46" s="35">
        <f t="shared" ref="I46:I52" si="23">H46-F46</f>
        <v>1.6900000000000119</v>
      </c>
      <c r="J46" s="70">
        <f t="shared" si="2"/>
        <v>20.283018867924135</v>
      </c>
      <c r="K46" s="38">
        <f t="shared" si="22"/>
        <v>97.09</v>
      </c>
      <c r="L46" s="39">
        <v>249.94</v>
      </c>
      <c r="M46" s="35">
        <f t="shared" ref="M46:M52" si="24">L46-K46</f>
        <v>152.85</v>
      </c>
      <c r="N46" s="59">
        <v>11.186999999999999</v>
      </c>
      <c r="O46" s="41">
        <v>144.9</v>
      </c>
      <c r="P46" s="36">
        <f t="shared" si="4"/>
        <v>1.1187</v>
      </c>
      <c r="Q46" s="36">
        <v>0</v>
      </c>
      <c r="R46" s="52">
        <f t="shared" si="5"/>
        <v>2.3466221893490959</v>
      </c>
      <c r="S46" s="52"/>
      <c r="T46" s="55"/>
      <c r="U46" s="24"/>
    </row>
    <row r="47" spans="1:23" s="28" customFormat="1" x14ac:dyDescent="0.35">
      <c r="A47" s="29">
        <v>3</v>
      </c>
      <c r="B47" s="26">
        <v>45365</v>
      </c>
      <c r="C47" s="22">
        <v>6</v>
      </c>
      <c r="D47" s="22">
        <v>10</v>
      </c>
      <c r="E47" s="50">
        <f t="shared" si="0"/>
        <v>8</v>
      </c>
      <c r="F47" s="38">
        <v>113.3</v>
      </c>
      <c r="G47" s="39">
        <v>115.34</v>
      </c>
      <c r="H47" s="39">
        <v>114.93</v>
      </c>
      <c r="I47" s="35">
        <f t="shared" si="23"/>
        <v>1.6300000000000097</v>
      </c>
      <c r="J47" s="70">
        <f t="shared" si="2"/>
        <v>20.098039215686047</v>
      </c>
      <c r="K47" s="38">
        <f t="shared" si="22"/>
        <v>126.09</v>
      </c>
      <c r="L47" s="39"/>
      <c r="M47" s="35">
        <f t="shared" si="24"/>
        <v>-126.09</v>
      </c>
      <c r="N47" s="59">
        <v>7.5129999999999999</v>
      </c>
      <c r="O47" s="41">
        <v>61.4</v>
      </c>
      <c r="P47" s="36">
        <f t="shared" si="4"/>
        <v>0.75129999999999997</v>
      </c>
      <c r="Q47" s="36">
        <v>0</v>
      </c>
      <c r="R47" s="52">
        <f t="shared" si="5"/>
        <v>1.6339622699386407</v>
      </c>
      <c r="S47" s="52"/>
      <c r="T47" s="55"/>
    </row>
    <row r="48" spans="1:23" x14ac:dyDescent="0.35">
      <c r="A48" s="29">
        <v>4</v>
      </c>
      <c r="B48" s="26">
        <v>45365</v>
      </c>
      <c r="C48" s="22">
        <v>10</v>
      </c>
      <c r="D48" s="22">
        <v>14</v>
      </c>
      <c r="E48" s="50">
        <f t="shared" si="0"/>
        <v>12</v>
      </c>
      <c r="F48" s="38">
        <v>107.38</v>
      </c>
      <c r="G48" s="39">
        <v>109.81</v>
      </c>
      <c r="H48" s="39">
        <v>109.34</v>
      </c>
      <c r="I48" s="35">
        <f t="shared" si="23"/>
        <v>1.960000000000008</v>
      </c>
      <c r="J48" s="70">
        <f t="shared" si="2"/>
        <v>19.34156378600813</v>
      </c>
      <c r="K48" s="38">
        <f t="shared" si="22"/>
        <v>106.86</v>
      </c>
      <c r="L48" s="39">
        <v>270.48</v>
      </c>
      <c r="M48" s="35">
        <f t="shared" si="24"/>
        <v>163.62</v>
      </c>
      <c r="N48" s="59">
        <v>4.2320000000000002</v>
      </c>
      <c r="O48" s="41">
        <v>49.5</v>
      </c>
      <c r="P48" s="36">
        <f t="shared" si="4"/>
        <v>0.42320000000000008</v>
      </c>
      <c r="Q48" s="36">
        <v>0</v>
      </c>
      <c r="R48" s="52">
        <f t="shared" si="5"/>
        <v>0.76543061224489517</v>
      </c>
      <c r="S48" s="52"/>
      <c r="T48" s="55"/>
      <c r="U48" s="24"/>
      <c r="V48" s="20" t="s">
        <v>53</v>
      </c>
    </row>
    <row r="49" spans="1:23" x14ac:dyDescent="0.35">
      <c r="A49" s="29">
        <v>5</v>
      </c>
      <c r="B49" s="26">
        <v>45365</v>
      </c>
      <c r="C49" s="22">
        <v>14</v>
      </c>
      <c r="D49" s="22">
        <v>18</v>
      </c>
      <c r="E49" s="50">
        <f t="shared" si="0"/>
        <v>16</v>
      </c>
      <c r="F49" s="38">
        <v>100.92</v>
      </c>
      <c r="G49" s="39">
        <v>102.29</v>
      </c>
      <c r="H49" s="39">
        <v>102</v>
      </c>
      <c r="I49" s="35">
        <f t="shared" si="23"/>
        <v>1.0799999999999983</v>
      </c>
      <c r="J49" s="70">
        <f t="shared" si="2"/>
        <v>21.167883211679218</v>
      </c>
      <c r="K49" s="38">
        <f t="shared" si="22"/>
        <v>108.69</v>
      </c>
      <c r="L49" s="39">
        <v>264.77</v>
      </c>
      <c r="M49" s="35">
        <f t="shared" si="24"/>
        <v>156.07999999999998</v>
      </c>
      <c r="N49" s="59">
        <v>0.45700000000000002</v>
      </c>
      <c r="O49" s="41">
        <v>60.2</v>
      </c>
      <c r="P49" s="36">
        <f t="shared" si="4"/>
        <v>4.5699999999999998E-2</v>
      </c>
      <c r="Q49" s="36">
        <v>0</v>
      </c>
      <c r="R49" s="52">
        <f t="shared" si="5"/>
        <v>0.15000601851851877</v>
      </c>
      <c r="S49" s="52"/>
      <c r="T49" s="55"/>
      <c r="U49" s="24"/>
      <c r="V49" s="21" t="s">
        <v>44</v>
      </c>
      <c r="W49" s="43">
        <v>3.6451519727433399</v>
      </c>
    </row>
    <row r="50" spans="1:23" s="28" customFormat="1" x14ac:dyDescent="0.35">
      <c r="A50" s="29">
        <v>6</v>
      </c>
      <c r="B50" s="26">
        <v>45365</v>
      </c>
      <c r="C50" s="22">
        <v>18</v>
      </c>
      <c r="D50" s="22">
        <v>22</v>
      </c>
      <c r="E50" s="50">
        <f t="shared" si="0"/>
        <v>20</v>
      </c>
      <c r="F50" s="38">
        <v>121.89</v>
      </c>
      <c r="G50" s="39">
        <v>123.34</v>
      </c>
      <c r="H50" s="39">
        <v>122.92</v>
      </c>
      <c r="I50" s="35">
        <f t="shared" si="23"/>
        <v>1.0300000000000011</v>
      </c>
      <c r="J50" s="70">
        <f t="shared" si="2"/>
        <v>28.96551724137937</v>
      </c>
      <c r="K50" s="38">
        <f t="shared" si="22"/>
        <v>109.26</v>
      </c>
      <c r="L50" s="39">
        <v>266.66000000000003</v>
      </c>
      <c r="M50" s="35">
        <f t="shared" si="24"/>
        <v>157.40000000000003</v>
      </c>
      <c r="N50" s="59">
        <v>0.99099999999999999</v>
      </c>
      <c r="O50" s="41">
        <v>116.1</v>
      </c>
      <c r="P50" s="36">
        <f t="shared" si="4"/>
        <v>9.9099999999999994E-2</v>
      </c>
      <c r="Q50" s="36">
        <f t="shared" si="8"/>
        <v>0.1</v>
      </c>
      <c r="R50" s="52">
        <f t="shared" si="5"/>
        <v>-3.0975728155340186E-3</v>
      </c>
      <c r="S50" s="52"/>
      <c r="T50" s="55"/>
      <c r="V50" s="21" t="s">
        <v>45</v>
      </c>
      <c r="W50" s="21">
        <v>0</v>
      </c>
    </row>
    <row r="51" spans="1:23" x14ac:dyDescent="0.35">
      <c r="A51" s="29">
        <v>7</v>
      </c>
      <c r="B51" s="26">
        <v>45365</v>
      </c>
      <c r="C51" s="22">
        <v>22</v>
      </c>
      <c r="D51" s="22">
        <v>26</v>
      </c>
      <c r="E51" s="50">
        <f t="shared" si="0"/>
        <v>24</v>
      </c>
      <c r="F51" s="38">
        <v>97.63</v>
      </c>
      <c r="G51" s="39">
        <v>99.71</v>
      </c>
      <c r="H51" s="39">
        <v>99.29</v>
      </c>
      <c r="I51" s="35">
        <f t="shared" si="23"/>
        <v>1.6600000000000108</v>
      </c>
      <c r="J51" s="70">
        <f t="shared" si="2"/>
        <v>20.192307692307107</v>
      </c>
      <c r="K51" s="38">
        <f t="shared" si="22"/>
        <v>103.56</v>
      </c>
      <c r="L51" s="39">
        <v>258.37</v>
      </c>
      <c r="M51" s="35">
        <f t="shared" si="24"/>
        <v>154.81</v>
      </c>
      <c r="N51" s="59">
        <v>1.1399999999999999</v>
      </c>
      <c r="O51" s="41">
        <v>99.4</v>
      </c>
      <c r="P51" s="36">
        <f t="shared" si="4"/>
        <v>0.114</v>
      </c>
      <c r="Q51" s="36">
        <f t="shared" si="8"/>
        <v>0.1</v>
      </c>
      <c r="R51" s="52">
        <f t="shared" si="5"/>
        <v>2.9897590361445583E-2</v>
      </c>
      <c r="S51" s="52"/>
      <c r="T51" s="55"/>
      <c r="U51" s="24"/>
      <c r="V51" s="27" t="s">
        <v>47</v>
      </c>
      <c r="W51" s="64">
        <v>2.9164541656748533</v>
      </c>
    </row>
    <row r="52" spans="1:23" x14ac:dyDescent="0.35">
      <c r="A52" s="22">
        <v>8</v>
      </c>
      <c r="B52" s="26">
        <v>45365</v>
      </c>
      <c r="C52" s="22">
        <v>26</v>
      </c>
      <c r="D52" s="22">
        <v>30</v>
      </c>
      <c r="E52" s="47">
        <f t="shared" si="0"/>
        <v>28</v>
      </c>
      <c r="F52" s="38">
        <v>118.25</v>
      </c>
      <c r="G52" s="38">
        <v>120.48</v>
      </c>
      <c r="H52" s="38">
        <v>120.04</v>
      </c>
      <c r="I52" s="34">
        <f t="shared" si="23"/>
        <v>1.7900000000000063</v>
      </c>
      <c r="J52" s="70">
        <f t="shared" si="2"/>
        <v>19.730941704035736</v>
      </c>
      <c r="K52" s="38">
        <f t="shared" si="22"/>
        <v>98.78</v>
      </c>
      <c r="L52" s="38">
        <v>263.26</v>
      </c>
      <c r="M52" s="34">
        <f t="shared" si="24"/>
        <v>164.48</v>
      </c>
      <c r="N52" s="58">
        <v>1.1160000000000001</v>
      </c>
      <c r="O52" s="40">
        <v>98.2</v>
      </c>
      <c r="P52" s="36">
        <f t="shared" si="4"/>
        <v>0.1116</v>
      </c>
      <c r="Q52" s="36">
        <f t="shared" si="8"/>
        <v>0.1</v>
      </c>
      <c r="R52" s="52">
        <f t="shared" si="5"/>
        <v>2.2973184357541823E-2</v>
      </c>
      <c r="S52" s="52"/>
      <c r="T52" s="55"/>
      <c r="U52" s="24"/>
      <c r="V52" s="21" t="s">
        <v>46</v>
      </c>
      <c r="W52" s="21">
        <f>25*7*24*60*60</f>
        <v>15120000</v>
      </c>
    </row>
    <row r="53" spans="1:23" ht="15.5" x14ac:dyDescent="0.35">
      <c r="E53" s="49"/>
      <c r="F53" s="37"/>
      <c r="G53" s="37"/>
      <c r="H53" s="37"/>
      <c r="I53" s="37"/>
      <c r="J53" s="71"/>
      <c r="K53" s="37"/>
      <c r="L53" s="37"/>
      <c r="M53" s="37"/>
      <c r="N53" s="60"/>
      <c r="O53" s="44"/>
      <c r="P53" s="44"/>
      <c r="Q53"/>
      <c r="R53"/>
      <c r="S53"/>
      <c r="T53" s="57"/>
      <c r="V53" s="44"/>
      <c r="W53" s="44"/>
    </row>
    <row r="54" spans="1:23" ht="15.5" x14ac:dyDescent="0.35">
      <c r="A54" s="81" t="s">
        <v>103</v>
      </c>
      <c r="E54" s="49"/>
      <c r="F54" s="37"/>
      <c r="G54" s="37"/>
      <c r="H54" s="37"/>
      <c r="I54" s="37"/>
      <c r="J54" s="71"/>
      <c r="K54" s="37"/>
      <c r="L54" s="37"/>
      <c r="M54" s="37"/>
      <c r="N54" s="61"/>
      <c r="O54" s="44"/>
      <c r="P54" s="44"/>
      <c r="Q54"/>
      <c r="R54"/>
      <c r="S54"/>
      <c r="T54" s="57" t="s">
        <v>68</v>
      </c>
      <c r="V54" s="19" t="s">
        <v>50</v>
      </c>
      <c r="W54" s="19" t="s">
        <v>49</v>
      </c>
    </row>
    <row r="55" spans="1:23" x14ac:dyDescent="0.35">
      <c r="A55" s="22">
        <v>1</v>
      </c>
      <c r="B55" s="26"/>
      <c r="C55" s="22">
        <v>0</v>
      </c>
      <c r="D55" s="22">
        <v>2</v>
      </c>
      <c r="E55" s="47">
        <f t="shared" si="0"/>
        <v>1</v>
      </c>
      <c r="F55" s="38"/>
      <c r="G55" s="38"/>
      <c r="H55" s="38"/>
      <c r="I55" s="34">
        <f>H55-F55</f>
        <v>0</v>
      </c>
      <c r="J55" s="70" t="e">
        <f t="shared" si="2"/>
        <v>#DIV/0!</v>
      </c>
      <c r="K55" s="38"/>
      <c r="L55" s="38"/>
      <c r="M55" s="34">
        <f>L55-K55</f>
        <v>0</v>
      </c>
      <c r="N55" s="59"/>
      <c r="O55" s="40"/>
      <c r="P55" s="36">
        <f t="shared" si="4"/>
        <v>0</v>
      </c>
      <c r="Q55" s="36">
        <f t="shared" si="8"/>
        <v>0.1</v>
      </c>
      <c r="R55" s="52" t="e">
        <f t="shared" si="5"/>
        <v>#N/A</v>
      </c>
      <c r="S55" s="52">
        <f>R45</f>
        <v>3.4595823809523902</v>
      </c>
      <c r="T55" s="55">
        <f>IF(S55="#N/A",NA(),AVERAGEIF(R55:S55,"&lt;&gt;#N/A"))</f>
        <v>3.4595823809523902</v>
      </c>
      <c r="U55" s="24"/>
      <c r="V55" s="42">
        <f>$W$49-($W$49-$W$50)*ERF((E55/1000)/SQRT(4*$W$51*10^(-12)*$W$52))</f>
        <v>3.3360390739165515</v>
      </c>
      <c r="W55" s="42">
        <f>(T55-V55)^2</f>
        <v>1.5262948713351515E-2</v>
      </c>
    </row>
    <row r="56" spans="1:23" x14ac:dyDescent="0.35">
      <c r="A56" s="22">
        <v>2</v>
      </c>
      <c r="B56" s="26"/>
      <c r="C56" s="22">
        <v>2</v>
      </c>
      <c r="D56" s="22">
        <v>6</v>
      </c>
      <c r="E56" s="47">
        <f t="shared" si="0"/>
        <v>4</v>
      </c>
      <c r="F56" s="38"/>
      <c r="G56" s="38"/>
      <c r="H56" s="38"/>
      <c r="I56" s="34">
        <f t="shared" ref="I56:I62" si="25">H56-F56</f>
        <v>0</v>
      </c>
      <c r="J56" s="70" t="e">
        <f t="shared" si="2"/>
        <v>#DIV/0!</v>
      </c>
      <c r="K56" s="38"/>
      <c r="L56" s="38"/>
      <c r="M56" s="34">
        <f t="shared" ref="M56:M62" si="26">L56-K56</f>
        <v>0</v>
      </c>
      <c r="N56" s="59"/>
      <c r="O56" s="40"/>
      <c r="P56" s="36">
        <f t="shared" si="4"/>
        <v>0</v>
      </c>
      <c r="Q56" s="36">
        <f t="shared" si="8"/>
        <v>0.1</v>
      </c>
      <c r="R56" s="52" t="e">
        <f t="shared" si="5"/>
        <v>#N/A</v>
      </c>
      <c r="S56" s="52">
        <f t="shared" ref="S56:S62" si="27">R46</f>
        <v>2.3466221893490959</v>
      </c>
      <c r="T56" s="55">
        <f t="shared" ref="T56:T62" si="28">IF(S56="#N/A",NA(),AVERAGEIF(R56:S56,"&lt;&gt;#N/A"))</f>
        <v>2.3466221893490959</v>
      </c>
      <c r="U56" s="24"/>
      <c r="V56" s="42">
        <f t="shared" ref="V56:V62" si="29">$W$49-($W$49-$W$50)*ERF((E56/1000)/SQRT(4*$W$51*10^(-12)*$W$52))</f>
        <v>2.4428222982066421</v>
      </c>
      <c r="W56" s="42">
        <f>(T56-V56)^2</f>
        <v>9.2544609442037299E-3</v>
      </c>
    </row>
    <row r="57" spans="1:23" s="31" customFormat="1" x14ac:dyDescent="0.35">
      <c r="A57" s="29">
        <v>3</v>
      </c>
      <c r="B57" s="30"/>
      <c r="C57" s="22">
        <v>6</v>
      </c>
      <c r="D57" s="22">
        <v>10</v>
      </c>
      <c r="E57" s="47">
        <f t="shared" si="0"/>
        <v>8</v>
      </c>
      <c r="F57" s="38"/>
      <c r="G57" s="39"/>
      <c r="H57" s="39"/>
      <c r="I57" s="35">
        <f t="shared" si="25"/>
        <v>0</v>
      </c>
      <c r="J57" s="70" t="e">
        <f t="shared" si="2"/>
        <v>#DIV/0!</v>
      </c>
      <c r="K57" s="38"/>
      <c r="L57" s="39"/>
      <c r="M57" s="35">
        <f t="shared" si="26"/>
        <v>0</v>
      </c>
      <c r="N57" s="59"/>
      <c r="O57" s="41"/>
      <c r="P57" s="36">
        <f t="shared" si="4"/>
        <v>0</v>
      </c>
      <c r="Q57" s="36">
        <f t="shared" si="8"/>
        <v>0.1</v>
      </c>
      <c r="R57" s="52" t="e">
        <f t="shared" si="5"/>
        <v>#N/A</v>
      </c>
      <c r="S57" s="52">
        <f t="shared" si="27"/>
        <v>1.6339622699386407</v>
      </c>
      <c r="T57" s="55">
        <f t="shared" si="28"/>
        <v>1.6339622699386407</v>
      </c>
      <c r="V57" s="42">
        <f t="shared" si="29"/>
        <v>1.4372404760744391</v>
      </c>
      <c r="W57" s="42">
        <f t="shared" ref="W57:W62" si="30">(T57-V57)^2</f>
        <v>3.8699464181149439E-2</v>
      </c>
    </row>
    <row r="58" spans="1:23" x14ac:dyDescent="0.35">
      <c r="A58" s="22">
        <v>4</v>
      </c>
      <c r="B58" s="26"/>
      <c r="C58" s="22">
        <v>10</v>
      </c>
      <c r="D58" s="22">
        <v>14</v>
      </c>
      <c r="E58" s="47">
        <f t="shared" si="0"/>
        <v>12</v>
      </c>
      <c r="F58" s="38"/>
      <c r="G58" s="38"/>
      <c r="H58" s="38"/>
      <c r="I58" s="34">
        <f t="shared" si="25"/>
        <v>0</v>
      </c>
      <c r="J58" s="70" t="e">
        <f t="shared" si="2"/>
        <v>#DIV/0!</v>
      </c>
      <c r="K58" s="38"/>
      <c r="L58" s="38"/>
      <c r="M58" s="34">
        <f t="shared" si="26"/>
        <v>0</v>
      </c>
      <c r="N58" s="58"/>
      <c r="O58" s="40"/>
      <c r="P58" s="36">
        <f t="shared" si="4"/>
        <v>0</v>
      </c>
      <c r="Q58" s="36">
        <f t="shared" si="8"/>
        <v>0.1</v>
      </c>
      <c r="R58" s="52" t="e">
        <f t="shared" si="5"/>
        <v>#N/A</v>
      </c>
      <c r="S58" s="52">
        <f t="shared" si="27"/>
        <v>0.76543061224489517</v>
      </c>
      <c r="T58" s="55">
        <f t="shared" si="28"/>
        <v>0.76543061224489517</v>
      </c>
      <c r="U58" s="24"/>
      <c r="V58" s="42">
        <f t="shared" si="29"/>
        <v>0.73384224102634832</v>
      </c>
      <c r="W58" s="42">
        <f t="shared" si="30"/>
        <v>9.9782519624071913E-4</v>
      </c>
    </row>
    <row r="59" spans="1:23" x14ac:dyDescent="0.35">
      <c r="A59" s="22">
        <v>5</v>
      </c>
      <c r="B59" s="26"/>
      <c r="C59" s="22">
        <v>14</v>
      </c>
      <c r="D59" s="22">
        <v>18</v>
      </c>
      <c r="E59" s="47">
        <f t="shared" si="0"/>
        <v>16</v>
      </c>
      <c r="F59" s="38"/>
      <c r="G59" s="38"/>
      <c r="H59" s="38"/>
      <c r="I59" s="34">
        <f t="shared" si="25"/>
        <v>0</v>
      </c>
      <c r="J59" s="70" t="e">
        <f t="shared" si="2"/>
        <v>#DIV/0!</v>
      </c>
      <c r="K59" s="38"/>
      <c r="L59" s="38"/>
      <c r="M59" s="34">
        <f t="shared" si="26"/>
        <v>0</v>
      </c>
      <c r="N59" s="58"/>
      <c r="O59" s="40"/>
      <c r="P59" s="36">
        <f t="shared" si="4"/>
        <v>0</v>
      </c>
      <c r="Q59" s="36">
        <f t="shared" si="8"/>
        <v>0.1</v>
      </c>
      <c r="R59" s="52" t="e">
        <f t="shared" si="5"/>
        <v>#N/A</v>
      </c>
      <c r="S59" s="52">
        <f t="shared" si="27"/>
        <v>0.15000601851851877</v>
      </c>
      <c r="T59" s="55">
        <f t="shared" si="28"/>
        <v>0.15000601851851877</v>
      </c>
      <c r="U59" s="24"/>
      <c r="V59" s="42">
        <f t="shared" si="29"/>
        <v>0.32234442542051367</v>
      </c>
      <c r="W59" s="42">
        <f t="shared" si="30"/>
        <v>2.9700526493517562E-2</v>
      </c>
    </row>
    <row r="60" spans="1:23" s="31" customFormat="1" x14ac:dyDescent="0.35">
      <c r="A60" s="29">
        <v>6</v>
      </c>
      <c r="B60" s="30"/>
      <c r="C60" s="22">
        <v>18</v>
      </c>
      <c r="D60" s="22">
        <v>22</v>
      </c>
      <c r="E60" s="47">
        <f t="shared" si="0"/>
        <v>20</v>
      </c>
      <c r="F60" s="38"/>
      <c r="G60" s="39"/>
      <c r="H60" s="39"/>
      <c r="I60" s="35">
        <f t="shared" si="25"/>
        <v>0</v>
      </c>
      <c r="J60" s="70" t="e">
        <f t="shared" si="2"/>
        <v>#DIV/0!</v>
      </c>
      <c r="K60" s="38"/>
      <c r="L60" s="39"/>
      <c r="M60" s="35">
        <f t="shared" si="26"/>
        <v>0</v>
      </c>
      <c r="N60" s="59"/>
      <c r="O60" s="41"/>
      <c r="P60" s="36">
        <f t="shared" si="4"/>
        <v>0</v>
      </c>
      <c r="Q60" s="36">
        <f t="shared" si="8"/>
        <v>0.1</v>
      </c>
      <c r="R60" s="52" t="e">
        <f t="shared" si="5"/>
        <v>#N/A</v>
      </c>
      <c r="S60" s="52">
        <f t="shared" si="27"/>
        <v>-3.0975728155340186E-3</v>
      </c>
      <c r="T60" s="55">
        <f t="shared" si="28"/>
        <v>-3.0975728155340186E-3</v>
      </c>
      <c r="V60" s="42">
        <f t="shared" si="29"/>
        <v>0.12101608183920787</v>
      </c>
      <c r="W60" s="42">
        <f t="shared" si="30"/>
        <v>1.5404199271756533E-2</v>
      </c>
    </row>
    <row r="61" spans="1:23" x14ac:dyDescent="0.35">
      <c r="A61" s="22">
        <v>7</v>
      </c>
      <c r="B61" s="26"/>
      <c r="C61" s="22">
        <v>22</v>
      </c>
      <c r="D61" s="22">
        <v>26</v>
      </c>
      <c r="E61" s="47">
        <f t="shared" si="0"/>
        <v>24</v>
      </c>
      <c r="F61" s="38"/>
      <c r="G61" s="38"/>
      <c r="H61" s="38"/>
      <c r="I61" s="34">
        <f t="shared" si="25"/>
        <v>0</v>
      </c>
      <c r="J61" s="70" t="e">
        <f t="shared" si="2"/>
        <v>#DIV/0!</v>
      </c>
      <c r="K61" s="38"/>
      <c r="L61" s="38"/>
      <c r="M61" s="34">
        <f t="shared" si="26"/>
        <v>0</v>
      </c>
      <c r="N61" s="58"/>
      <c r="O61" s="40"/>
      <c r="P61" s="36">
        <f t="shared" si="4"/>
        <v>0</v>
      </c>
      <c r="Q61" s="36">
        <f t="shared" si="8"/>
        <v>0.1</v>
      </c>
      <c r="R61" s="52" t="e">
        <f t="shared" si="5"/>
        <v>#N/A</v>
      </c>
      <c r="S61" s="52">
        <f t="shared" si="27"/>
        <v>2.9897590361445583E-2</v>
      </c>
      <c r="T61" s="55">
        <f t="shared" si="28"/>
        <v>2.9897590361445583E-2</v>
      </c>
      <c r="U61" s="24"/>
      <c r="V61" s="42">
        <f t="shared" si="29"/>
        <v>3.8640467148582047E-2</v>
      </c>
      <c r="W61" s="42">
        <f t="shared" si="30"/>
        <v>7.6437894515049611E-5</v>
      </c>
    </row>
    <row r="62" spans="1:23" x14ac:dyDescent="0.35">
      <c r="A62" s="22">
        <v>8</v>
      </c>
      <c r="B62" s="26"/>
      <c r="C62" s="22">
        <v>26</v>
      </c>
      <c r="D62" s="22">
        <v>30</v>
      </c>
      <c r="E62" s="47">
        <f t="shared" si="0"/>
        <v>28</v>
      </c>
      <c r="F62" s="38"/>
      <c r="G62" s="38"/>
      <c r="H62" s="38"/>
      <c r="I62" s="34">
        <f t="shared" si="25"/>
        <v>0</v>
      </c>
      <c r="J62" s="70" t="e">
        <f t="shared" si="2"/>
        <v>#DIV/0!</v>
      </c>
      <c r="K62" s="38"/>
      <c r="L62" s="38"/>
      <c r="M62" s="34">
        <f t="shared" si="26"/>
        <v>0</v>
      </c>
      <c r="N62" s="58"/>
      <c r="O62" s="40"/>
      <c r="P62" s="36">
        <f t="shared" si="4"/>
        <v>0</v>
      </c>
      <c r="Q62" s="36">
        <f t="shared" si="8"/>
        <v>0.1</v>
      </c>
      <c r="R62" s="52" t="e">
        <f t="shared" si="5"/>
        <v>#N/A</v>
      </c>
      <c r="S62" s="52">
        <f t="shared" si="27"/>
        <v>2.2973184357541823E-2</v>
      </c>
      <c r="T62" s="55">
        <f t="shared" si="28"/>
        <v>2.2973184357541823E-2</v>
      </c>
      <c r="U62" s="24"/>
      <c r="V62" s="42">
        <f t="shared" si="29"/>
        <v>1.0454642961975846E-2</v>
      </c>
      <c r="W62" s="42">
        <f t="shared" si="30"/>
        <v>1.5671387867249897E-4</v>
      </c>
    </row>
    <row r="63" spans="1:23" ht="15.5" x14ac:dyDescent="0.35">
      <c r="J63"/>
      <c r="Q63"/>
      <c r="R63"/>
      <c r="S63"/>
      <c r="V63" s="21"/>
      <c r="W63" s="42">
        <f>SUM(W56:W61)</f>
        <v>9.4132913981383015E-2</v>
      </c>
    </row>
    <row r="64" spans="1:23" ht="15.5" x14ac:dyDescent="0.35">
      <c r="J64"/>
      <c r="Q64"/>
      <c r="R64"/>
      <c r="S64"/>
    </row>
    <row r="65" spans="17:19" ht="15.5" x14ac:dyDescent="0.35">
      <c r="Q65"/>
      <c r="R65"/>
      <c r="S65"/>
    </row>
  </sheetData>
  <mergeCells count="19">
    <mergeCell ref="G1:G2"/>
    <mergeCell ref="A1:A2"/>
    <mergeCell ref="B1:B2"/>
    <mergeCell ref="C1:D1"/>
    <mergeCell ref="E1:E2"/>
    <mergeCell ref="F1:F2"/>
    <mergeCell ref="T1:T2"/>
    <mergeCell ref="H1:H2"/>
    <mergeCell ref="I1:I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J1: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F4BAE-3972-4C18-98A9-9176F036E041}">
  <dimension ref="S1:W4"/>
  <sheetViews>
    <sheetView tabSelected="1" zoomScale="115" zoomScaleNormal="115" workbookViewId="0">
      <selection activeCell="L24" sqref="L24"/>
    </sheetView>
  </sheetViews>
  <sheetFormatPr defaultColWidth="8.75" defaultRowHeight="15.5" x14ac:dyDescent="0.35"/>
  <sheetData>
    <row r="1" spans="19:23" x14ac:dyDescent="0.35">
      <c r="T1" t="s">
        <v>79</v>
      </c>
      <c r="U1" t="s">
        <v>78</v>
      </c>
      <c r="V1" t="s">
        <v>79</v>
      </c>
      <c r="W1" t="s">
        <v>78</v>
      </c>
    </row>
    <row r="2" spans="19:23" x14ac:dyDescent="0.35">
      <c r="S2" t="s">
        <v>54</v>
      </c>
      <c r="T2">
        <v>17</v>
      </c>
      <c r="U2">
        <v>19</v>
      </c>
      <c r="V2">
        <v>6.8</v>
      </c>
      <c r="W2">
        <v>7.8</v>
      </c>
    </row>
    <row r="3" spans="19:23" x14ac:dyDescent="0.35">
      <c r="S3" t="s">
        <v>55</v>
      </c>
      <c r="T3">
        <v>11</v>
      </c>
      <c r="U3">
        <v>8.1</v>
      </c>
      <c r="V3">
        <v>4.5</v>
      </c>
      <c r="W3">
        <v>4</v>
      </c>
    </row>
    <row r="4" spans="19:23" x14ac:dyDescent="0.35">
      <c r="S4" t="s">
        <v>56</v>
      </c>
      <c r="T4">
        <v>8.1</v>
      </c>
      <c r="U4">
        <v>5</v>
      </c>
      <c r="V4">
        <v>4</v>
      </c>
      <c r="W4">
        <v>3.2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582AB7F28F62D458439CE9019DEE3F2" ma:contentTypeVersion="14" ma:contentTypeDescription="Opret et nyt dokument." ma:contentTypeScope="" ma:versionID="a43b6f59af9a34c2c4ab971e99481b8d">
  <xsd:schema xmlns:xsd="http://www.w3.org/2001/XMLSchema" xmlns:xs="http://www.w3.org/2001/XMLSchema" xmlns:p="http://schemas.microsoft.com/office/2006/metadata/properties" xmlns:ns3="caa8d4bf-9ef7-4b99-8c87-0cf98e970810" xmlns:ns4="c0b220dd-a269-488d-9716-5c73c3c14e95" targetNamespace="http://schemas.microsoft.com/office/2006/metadata/properties" ma:root="true" ma:fieldsID="f93949c2f45e194786fb90a2074e1867" ns3:_="" ns4:_="">
    <xsd:import namespace="caa8d4bf-9ef7-4b99-8c87-0cf98e970810"/>
    <xsd:import namespace="c0b220dd-a269-488d-9716-5c73c3c14e9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a8d4bf-9ef7-4b99-8c87-0cf98e970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værdi for deling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b220dd-a269-488d-9716-5c73c3c14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0FD4E2-CD76-4985-BAD4-9DA245BD069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aa8d4bf-9ef7-4b99-8c87-0cf98e970810"/>
    <ds:schemaRef ds:uri="http://purl.org/dc/terms/"/>
    <ds:schemaRef ds:uri="http://schemas.openxmlformats.org/package/2006/metadata/core-properties"/>
    <ds:schemaRef ds:uri="c0b220dd-a269-488d-9716-5c73c3c14e9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E85E873-4A67-4657-A58C-B974226B5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a8d4bf-9ef7-4b99-8c87-0cf98e970810"/>
    <ds:schemaRef ds:uri="c0b220dd-a269-488d-9716-5c73c3c14e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B9A0FE-A291-4155-8E45-7666EDBDF4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x</vt:lpstr>
      <vt:lpstr>Migration 4w</vt:lpstr>
      <vt:lpstr>Diffusion 12w</vt:lpstr>
      <vt:lpstr>Migration 12w</vt:lpstr>
      <vt:lpstr>Diffusion 30w</vt:lpstr>
      <vt:lpstr>Graphs</vt:lpstr>
      <vt:lpstr>x!T</vt:lpstr>
      <vt:lpstr>x!ti</vt:lpstr>
      <vt:lpstr>x!U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Maxime Ranger</cp:lastModifiedBy>
  <dcterms:created xsi:type="dcterms:W3CDTF">2015-09-12T16:39:41Z</dcterms:created>
  <dcterms:modified xsi:type="dcterms:W3CDTF">2024-09-03T09:13:36Z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0x0101006582AB7F28F62D458439CE9019DEE3F2</vt:lpwstr>
  </property>
</Properties>
</file>